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940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</sheets>
  <externalReferences>
    <externalReference r:id="rId10"/>
    <externalReference r:id="rId11"/>
    <externalReference r:id="rId12"/>
  </externalReferences>
  <calcPr calcId="124519"/>
</workbook>
</file>

<file path=xl/calcChain.xml><?xml version="1.0" encoding="utf-8"?>
<calcChain xmlns="http://schemas.openxmlformats.org/spreadsheetml/2006/main">
  <c r="B14" i="7"/>
  <c r="B12"/>
  <c r="B10"/>
  <c r="B8"/>
  <c r="B6"/>
  <c r="C8"/>
  <c r="B22" i="6"/>
  <c r="B20"/>
  <c r="B18"/>
  <c r="B16"/>
  <c r="B14"/>
  <c r="B12"/>
  <c r="B11"/>
  <c r="B9"/>
  <c r="B7"/>
  <c r="B5"/>
  <c r="C5"/>
  <c r="B10" i="4"/>
  <c r="B9"/>
  <c r="B8"/>
  <c r="C8"/>
  <c r="G11" i="2"/>
  <c r="H35" i="1"/>
  <c r="H31"/>
  <c r="H47"/>
  <c r="H42"/>
  <c r="H45"/>
  <c r="C14" i="7"/>
  <c r="C12"/>
  <c r="C10"/>
  <c r="C6"/>
  <c r="C22" i="6"/>
  <c r="C20"/>
  <c r="C18"/>
  <c r="C16"/>
  <c r="C14"/>
  <c r="C12"/>
  <c r="C11"/>
  <c r="C9"/>
  <c r="C7"/>
  <c r="C10" i="4"/>
  <c r="C9"/>
  <c r="F10"/>
  <c r="F9"/>
  <c r="F8"/>
  <c r="G8"/>
  <c r="I8"/>
  <c r="H8"/>
  <c r="H20" i="1"/>
  <c r="H6" i="3"/>
  <c r="G6"/>
  <c r="F6"/>
  <c r="H7" i="2"/>
  <c r="G7"/>
  <c r="F7"/>
  <c r="H29" i="1"/>
  <c r="G29"/>
  <c r="F29"/>
  <c r="H6"/>
  <c r="G6"/>
  <c r="F6"/>
  <c r="H9" i="4"/>
  <c r="H10"/>
  <c r="G9"/>
  <c r="G10"/>
  <c r="F20" i="2"/>
  <c r="H33" i="1"/>
  <c r="G35"/>
  <c r="H11" i="3" l="1"/>
  <c r="I9" i="4"/>
  <c r="I10"/>
  <c r="H7" i="3"/>
  <c r="H9"/>
  <c r="H10"/>
  <c r="G7"/>
  <c r="G9"/>
  <c r="G10"/>
  <c r="F10"/>
  <c r="F9"/>
  <c r="F7"/>
  <c r="H19" i="2"/>
  <c r="H20"/>
  <c r="H21"/>
  <c r="H24"/>
  <c r="H25"/>
  <c r="H16"/>
  <c r="H8"/>
  <c r="H11"/>
  <c r="H13"/>
  <c r="H14"/>
  <c r="H15"/>
  <c r="G20"/>
  <c r="G21"/>
  <c r="G24"/>
  <c r="G25"/>
  <c r="G19"/>
  <c r="G13"/>
  <c r="G14"/>
  <c r="G15"/>
  <c r="G16"/>
  <c r="G8"/>
  <c r="F25"/>
  <c r="F24"/>
  <c r="F21"/>
  <c r="F19"/>
  <c r="F15"/>
  <c r="F16"/>
  <c r="F14"/>
  <c r="F13"/>
  <c r="F11"/>
  <c r="F8"/>
  <c r="H48" i="1"/>
  <c r="H43"/>
  <c r="H44"/>
  <c r="H36"/>
  <c r="H37"/>
  <c r="H38"/>
  <c r="H39"/>
  <c r="H24"/>
  <c r="H21"/>
  <c r="H22"/>
  <c r="H19"/>
  <c r="H8"/>
  <c r="H10"/>
  <c r="H12"/>
  <c r="H13"/>
  <c r="H14"/>
  <c r="H15"/>
  <c r="H16"/>
  <c r="G48"/>
  <c r="G47"/>
  <c r="G43"/>
  <c r="G44"/>
  <c r="G45"/>
  <c r="G42"/>
  <c r="G31"/>
  <c r="G33"/>
  <c r="G36"/>
  <c r="G37"/>
  <c r="G39"/>
  <c r="G20"/>
  <c r="G21"/>
  <c r="G22"/>
  <c r="G24"/>
  <c r="G8"/>
  <c r="G10"/>
  <c r="G12"/>
  <c r="G13"/>
  <c r="G14"/>
  <c r="G16"/>
  <c r="G19"/>
  <c r="F48"/>
  <c r="F47"/>
  <c r="F45"/>
  <c r="F44"/>
  <c r="F43"/>
  <c r="F42"/>
  <c r="F31"/>
  <c r="F33"/>
  <c r="F35"/>
  <c r="F36"/>
  <c r="F37"/>
  <c r="F39"/>
  <c r="F20"/>
  <c r="F19"/>
  <c r="F21"/>
  <c r="F22"/>
  <c r="F24"/>
  <c r="F8"/>
  <c r="F10"/>
  <c r="F12"/>
  <c r="F13"/>
  <c r="F14"/>
  <c r="F16"/>
</calcChain>
</file>

<file path=xl/sharedStrings.xml><?xml version="1.0" encoding="utf-8"?>
<sst xmlns="http://schemas.openxmlformats.org/spreadsheetml/2006/main" count="288" uniqueCount="154">
  <si>
    <t xml:space="preserve">   ՀՀ կառավարության պարտք</t>
  </si>
  <si>
    <t xml:space="preserve">          այդ թվում՝</t>
  </si>
  <si>
    <t xml:space="preserve">     արտաքին պարտք</t>
  </si>
  <si>
    <t xml:space="preserve">            այդ թվում՝</t>
  </si>
  <si>
    <t>*ՀՀ կառավարության արտաքին երաշխիքները տրամադրվել են ՀՀ կենտրոնական բանկի վարկերի գծով և կրկնահաշվարկից խուսափելու նպատակով արտացոլված են ՀՀ կենտրոնական բանկի արտաքին պարտքի մեջ</t>
  </si>
  <si>
    <t>ՀՀ կառավարության պարտք, (մլրդ դրամ)</t>
  </si>
  <si>
    <t xml:space="preserve">     ներքին պարտք</t>
  </si>
  <si>
    <t xml:space="preserve">     արտաքին վարկեր և փոխառություններ</t>
  </si>
  <si>
    <t xml:space="preserve">     ներքին վարկեր և փոխառություններ</t>
  </si>
  <si>
    <t xml:space="preserve">     պետական գանձապետական պարտատոմսեր</t>
  </si>
  <si>
    <t xml:space="preserve">     արտարժութային պետական պարտատոմսեր</t>
  </si>
  <si>
    <t xml:space="preserve">     արտաքին երաշխիքներ</t>
  </si>
  <si>
    <t xml:space="preserve">     ներքին երաշխիքներ</t>
  </si>
  <si>
    <t>Կառուցվածքն ըստ թողարկման (ներգրավման) ժամկետայնության, %</t>
  </si>
  <si>
    <t xml:space="preserve">     կարճաժամկետ</t>
  </si>
  <si>
    <t xml:space="preserve">     միջնաժամկետ</t>
  </si>
  <si>
    <t xml:space="preserve">     երկարաժամկետ</t>
  </si>
  <si>
    <t>Կառուցվածքն ըստ տոկոսադրույքի, %</t>
  </si>
  <si>
    <t xml:space="preserve">     լողացող տոկոսադրույքով</t>
  </si>
  <si>
    <t xml:space="preserve">     ֆիքսված տոկոսադրույքով</t>
  </si>
  <si>
    <t>ՀՀ կառավարության պարտքի միջին տոկոսադրույքը, %</t>
  </si>
  <si>
    <t xml:space="preserve">     ներքին վարկերի և փոխառությունների գծով</t>
  </si>
  <si>
    <t xml:space="preserve">     պետական գանձապետական պարտատոմսերի գծով</t>
  </si>
  <si>
    <t xml:space="preserve">     արտարժութային պետական պարտատոմսերի գծով</t>
  </si>
  <si>
    <t>-</t>
  </si>
  <si>
    <t>Փոխարկման համար կիրառված ԱՄՆ դոլար/ՀՀ դրամ փոխարժեքը</t>
  </si>
  <si>
    <r>
      <t xml:space="preserve">  </t>
    </r>
    <r>
      <rPr>
        <b/>
        <i/>
        <sz val="11"/>
        <color theme="1"/>
        <rFont val="GHEA Grapalat"/>
        <family val="3"/>
      </rPr>
      <t>ՀՀ կենտրոնական բանկի արտաքին պարտք</t>
    </r>
  </si>
  <si>
    <t xml:space="preserve">     որից`</t>
  </si>
  <si>
    <t>ՀՀ ՊԵՏԱԿԱՆ ՊԱՐՏՔ</t>
  </si>
  <si>
    <t>ՀՀ կենտրոնական բանկի արտաքին պարտք</t>
  </si>
  <si>
    <t>ՀՀ կառավարության պարտք</t>
  </si>
  <si>
    <t xml:space="preserve">          որից՝</t>
  </si>
  <si>
    <t>Կառուցվածքն ըստ ռեզիդենտության, %</t>
  </si>
  <si>
    <t>Կառուցվածքն ըստ գործիքակազմի, %</t>
  </si>
  <si>
    <r>
      <t xml:space="preserve">                                                                                                                             </t>
    </r>
    <r>
      <rPr>
        <b/>
        <sz val="12"/>
        <color theme="1"/>
        <rFont val="GHEA Grapalat"/>
        <family val="3"/>
      </rPr>
      <t xml:space="preserve"> </t>
    </r>
    <r>
      <rPr>
        <b/>
        <sz val="14"/>
        <color theme="1"/>
        <rFont val="GHEA Grapalat"/>
        <family val="3"/>
      </rPr>
      <t>ՏԵՂԵԿԱՆՔ</t>
    </r>
  </si>
  <si>
    <t xml:space="preserve">                                                                                   ՏԵՂԵԿԱՆՔ</t>
  </si>
  <si>
    <t xml:space="preserve">                  </t>
  </si>
  <si>
    <t>մլն ԱՄՆ դոլար</t>
  </si>
  <si>
    <t>Տոկոսավճար</t>
  </si>
  <si>
    <t>Մայր գումարի մարում</t>
  </si>
  <si>
    <t>Վարկային միջոցների ստացում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</si>
  <si>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տեղեկագրերը</t>
  </si>
  <si>
    <t>ՀՀ կառավարության երաշխիքով տրամադրված վարկեր</t>
  </si>
  <si>
    <t>ռեզիդենտների կողմից ձեռքբերված արտարժութային պետական պարտատոմսեր</t>
  </si>
  <si>
    <t>ներքին երաշխիքներ</t>
  </si>
  <si>
    <t>ռեզիդենտների կողմից ձեռքբերված պետական գանձապետական պարտատոմսեր</t>
  </si>
  <si>
    <t>վարկեր և փոխառություններ</t>
  </si>
  <si>
    <t>արտաքին երաշխիքներ*</t>
  </si>
  <si>
    <t>ոչ ռեզիդենտների կողմից ձեռքբերված    արտարժութային պետական պարտատոմսեր</t>
  </si>
  <si>
    <t>ոչ ռեզիդենտների կողմից ձեռքբերված  պետական գանձապետական պարտատոմսեր</t>
  </si>
  <si>
    <t>ոչ ռեզիդենտների կողմից ձեռքբերված  արտարժութային պետական պարտատոմսեր</t>
  </si>
  <si>
    <t xml:space="preserve">                                                                                                                      </t>
  </si>
  <si>
    <t xml:space="preserve">                այդ թվում՝</t>
  </si>
  <si>
    <t xml:space="preserve">          որից`</t>
  </si>
  <si>
    <t xml:space="preserve">     արտաքին վարկերի և փոխառությունների գծով</t>
  </si>
  <si>
    <t xml:space="preserve">                                                                                                       /մլն ԱՄՆ դոլար/                                  </t>
  </si>
  <si>
    <t>Վերաֆինանսավորման ռիսկ</t>
  </si>
  <si>
    <t>8 – 11 տարի</t>
  </si>
  <si>
    <t>առավելագույնը 20%</t>
  </si>
  <si>
    <t>Տոկոսադրույքի ռիսկ</t>
  </si>
  <si>
    <t>Ֆիքսված տոկոսադրույքով պարտքի կշիռը ընդամենը պարտքի մեջ</t>
  </si>
  <si>
    <t>առնվազն 80%</t>
  </si>
  <si>
    <t>Փոխարժեքի ռիսկ</t>
  </si>
  <si>
    <t>առնվազն 20%</t>
  </si>
  <si>
    <t>ՀՀ կառավարության պարտքի մինչև մարում միջին ժամկետը, տարի</t>
  </si>
  <si>
    <t>ՏԵՂԵԿԱՆՔ</t>
  </si>
  <si>
    <t>Ներքին պարտքի կշիռը ընդամենը պարտքի մեջ</t>
  </si>
  <si>
    <t xml:space="preserve">     արտաքին երաշխիքների գծով</t>
  </si>
  <si>
    <t xml:space="preserve">     ներքին երաշխիքների գծով</t>
  </si>
  <si>
    <t xml:space="preserve">ՀՀ կառավարության պարտքի կառավարման  ուղենշային ցուցանիշները </t>
  </si>
  <si>
    <t xml:space="preserve">                                                                                     ՏԵՂԵԿԱՆՔ</t>
  </si>
  <si>
    <t>մլրդ դրամ</t>
  </si>
  <si>
    <t xml:space="preserve">Ընդամենը ֆինանսավորումն փոխառու զուտ միջոցների հաշվին* </t>
  </si>
  <si>
    <t>այդ թվում`</t>
  </si>
  <si>
    <t>ներքին աղբյուրներից</t>
  </si>
  <si>
    <t>պետական գանձապետական պարտատոմսերի տեղաբաշխումից զուտ մուտք</t>
  </si>
  <si>
    <t xml:space="preserve">      որից`</t>
  </si>
  <si>
    <t>տեղաբաշխումից մուտք</t>
  </si>
  <si>
    <t>մարում / հետգնում</t>
  </si>
  <si>
    <t>ռեզիդենտից ստացված առևտրային վարկի մարում</t>
  </si>
  <si>
    <t>արտաքին աղբյուրներից</t>
  </si>
  <si>
    <t xml:space="preserve">վարկերի և փոխառությունների գծով զուտ մուտք </t>
  </si>
  <si>
    <t>վարկերի և փոխառությունների ստացում</t>
  </si>
  <si>
    <t>նպատակային վարկեր</t>
  </si>
  <si>
    <t>բյուջետային աջակցության վարկեր</t>
  </si>
  <si>
    <t>վարկերի և փոխառությունների մարում</t>
  </si>
  <si>
    <t>արտարժութային պետական պարտատոմսերի տեղաբաշխումից զուտ մուտք</t>
  </si>
  <si>
    <t>* առանց մուրհակների: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</si>
  <si>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և տարեկան տեղեկագրերը</t>
  </si>
  <si>
    <t>Ընդամենը տոկոսավճարներ*</t>
  </si>
  <si>
    <t xml:space="preserve">ներքին տոկոսավճարներ                                                         </t>
  </si>
  <si>
    <t>պետական գանձապետական պարտատոմսերի գծով</t>
  </si>
  <si>
    <t>ռեզիդենտից ստացված առևտրային վարկի գծով</t>
  </si>
  <si>
    <t xml:space="preserve">արտաքին տոկոսավճարներ     </t>
  </si>
  <si>
    <t>արտաքին աղբյուրներից ստացված վարկերի գծով</t>
  </si>
  <si>
    <t>արտարժույթով պետական պարտատոմսերի գծով</t>
  </si>
  <si>
    <t>* առանց մուրհակների սպասարկման ծախսերի:</t>
  </si>
  <si>
    <t>Պետական պարտատոմսերի ծավալը, մլրդ դրամ</t>
  </si>
  <si>
    <t>Պետական պարտատոմսերի կառուցվածքը, %</t>
  </si>
  <si>
    <t>կարճաժամկետ</t>
  </si>
  <si>
    <t>միջնաժամկետ</t>
  </si>
  <si>
    <t>երկարաժամկետ</t>
  </si>
  <si>
    <t>խնայողական</t>
  </si>
  <si>
    <t>Պետական պարտատոմսերի միջին կշռված եկամտաբերություն , %</t>
  </si>
  <si>
    <t>Պետական պարտատոմսերի միջին ժամկետայնությունը, օր</t>
  </si>
  <si>
    <t>ՀՀ կառավարության արտաքին վարկերի գծով պարտք, մլն ԱՄՆ դոլար</t>
  </si>
  <si>
    <t>Կառուցվածքն ըստ վարկատուների, %</t>
  </si>
  <si>
    <t>Միջազգային կազմակերպություններ</t>
  </si>
  <si>
    <t>Օտարերկրյա պետություններ </t>
  </si>
  <si>
    <t>Առևտրային բանկեր</t>
  </si>
  <si>
    <t>Արժութային կառուցվածքը, %</t>
  </si>
  <si>
    <t>USD</t>
  </si>
  <si>
    <t>SDR</t>
  </si>
  <si>
    <t>EUR</t>
  </si>
  <si>
    <t>JPY</t>
  </si>
  <si>
    <t>AED</t>
  </si>
  <si>
    <t>CNY</t>
  </si>
  <si>
    <t>31.12.2017</t>
  </si>
  <si>
    <t>ուղենիշներն ըստ 2018-2020թթ. ռազմավարական ծրագրի</t>
  </si>
  <si>
    <t xml:space="preserve">Առաջիկա 365 օրվա ընթացքում մարման ենթակա ՀՀ կառավարության պարտքի տեսակարար կշիռը (պետական գանձապետական պարատոմսերի գծով), %  </t>
  </si>
  <si>
    <t>x</t>
  </si>
  <si>
    <t xml:space="preserve"> 2016-2018թթ.  Հայաստանի Հանրապետության կառավարության արտաքին վարկերի սպասարկման և արտաքին վարկային միջոցների ստացման վերաբերյալ</t>
  </si>
  <si>
    <t xml:space="preserve">             2016-2018թթ.  Հայաստանի Հանրապետության կառավարության պարտքի միջին տոկոսադրույքի վերաբերյալ </t>
  </si>
  <si>
    <t>01.02.2018 - 28.02.2018</t>
  </si>
  <si>
    <r>
      <t xml:space="preserve">                          </t>
    </r>
    <r>
      <rPr>
        <b/>
        <sz val="12"/>
        <color theme="1"/>
        <rFont val="GHEA Grapalat"/>
        <family val="3"/>
      </rPr>
      <t>2016-2018թթ. Հայաստանի Հանրապետության պետական պարտքի վերաբերյալ (մարտ ամսվա վերջի դրությամբ)</t>
    </r>
  </si>
  <si>
    <t>31.03.2018</t>
  </si>
  <si>
    <t xml:space="preserve">  2016-2018թթ.  Հայաստանի Հանրապետության կառավարության պարտքի կառուցվածքի վերաբերյալ  (մարտ ամսվա վերջի դրությամբ)</t>
  </si>
  <si>
    <t xml:space="preserve">                                                                         (մարտ ամսվա վերջի դրությամբ)</t>
  </si>
  <si>
    <t>(մարտ ամսվա վերջի դրությամբ)</t>
  </si>
  <si>
    <t>01.03.2018 - 31.03.2018</t>
  </si>
  <si>
    <t>01.01.2018-31.03.2018</t>
  </si>
  <si>
    <t xml:space="preserve">Փոփոխությունը 01.01.2018 - 31.03.2018-ին 01.01.2016-31.03.2016-ի նկատմամբ(%) </t>
  </si>
  <si>
    <t xml:space="preserve">Փոփոխությունը 01.01.2018 - 31.03.2018-ին 01.01.2017 - 31.03.2017-ի նկատմամբ(%) </t>
  </si>
  <si>
    <t xml:space="preserve">Փոփոխությունը 01.03.2018 - 31.03.2018-ին 01.02.2018 - 28.02.2018-ի նկատմամբ(%) </t>
  </si>
  <si>
    <t>2016-2018թթ. հունվար-մարտ ամիսներին պետական բյուջեի պակասուրդի ֆինանսավորումը փոխառու միջոցների հաշվին</t>
  </si>
  <si>
    <t>% (2018թ. հուվար-մարտ)</t>
  </si>
  <si>
    <t>2016-2018թթ. հուվար-մարտ ամիսներին ՀՀ պետական բյուջեից ՀՀ կառավարության պարտքի գծով վճարված տոկոսավճարներ</t>
  </si>
  <si>
    <t>2016-2018թթ. շրջանառության մեջ գտնվող ՀՀ պետական պարտատոմսերը  (մարտ ամսվա վերջի դրությամբ)</t>
  </si>
  <si>
    <t>31.03.2017</t>
  </si>
  <si>
    <t>01.01.2017 - 31.03.2017</t>
  </si>
  <si>
    <t>01.01.2017-31.03.2017</t>
  </si>
  <si>
    <t xml:space="preserve">2016-2018թթ. վարկային պայմանագրերով ձևավորված ՀՀ կառավարության արտաքին պարտքը (մարտ ամսվա վերջի դրությամբ) </t>
  </si>
  <si>
    <t>31.03.2016</t>
  </si>
  <si>
    <t>01.01.2016 - 31.03.2016</t>
  </si>
  <si>
    <t>01.01.2016-31.03.2016</t>
  </si>
  <si>
    <t xml:space="preserve">31.03.2018-ը 31.03.2016-ի նկատմամբ(%) </t>
  </si>
  <si>
    <t xml:space="preserve">31.03.2018-ը 31.03.2017-ի նկատմամբ(%) </t>
  </si>
  <si>
    <t xml:space="preserve">31.03.2018-ը 31.12.2017-ի նկատմամբ(%) </t>
  </si>
  <si>
    <t xml:space="preserve">Տեսակարար կշռի փոփոխությունը` 31.03.2018-ին 31.03.2016-ի նկատմամբ(+/-) </t>
  </si>
  <si>
    <t xml:space="preserve">Տեսակարար կշռի փոփոխությունը 31.03.2018-ին 31.03.2017-ի նկատմամբ(+/-) </t>
  </si>
  <si>
    <t xml:space="preserve">Տեսակարար կշռի փոփոխությունը 31.03.2018-ին 31.12.2017-ի նկատմամբ(+/-) </t>
  </si>
  <si>
    <t xml:space="preserve">Փոփոխությունը               31.03.2018-ին 31.03.2016-ի նկատմամբ(+/-) </t>
  </si>
  <si>
    <t xml:space="preserve">Փոփոխությունը         31.03.2018-ին 31.03.2017-ի նկատմամբ(+/-) </t>
  </si>
  <si>
    <t xml:space="preserve">Փոփոխությունը         31.03.2018-ին 31.12.2017-ի նկատմամբ(+/-) </t>
  </si>
</sst>
</file>

<file path=xl/styles.xml><?xml version="1.0" encoding="utf-8"?>
<styleSheet xmlns="http://schemas.openxmlformats.org/spreadsheetml/2006/main">
  <numFmts count="13">
    <numFmt numFmtId="43" formatCode="_(* #,##0.00_);_(* \(#,##0.00\);_(* &quot;-&quot;??_);_(@_)"/>
    <numFmt numFmtId="164" formatCode="0.0;[Red]0.0"/>
    <numFmt numFmtId="165" formatCode="#,##0.0;[Red]#,##0.0"/>
    <numFmt numFmtId="166" formatCode="#,##0.0"/>
    <numFmt numFmtId="167" formatCode="#,##0.00;[Red]#,##0.00"/>
    <numFmt numFmtId="168" formatCode="0.0"/>
    <numFmt numFmtId="169" formatCode="_(* #,##0.0_);_(* \(#,##0.0\);_(* &quot;-&quot;??_);_(@_)"/>
    <numFmt numFmtId="170" formatCode="0.0000"/>
    <numFmt numFmtId="171" formatCode="0.00;[Red]0.00"/>
    <numFmt numFmtId="172" formatCode="0;[Red]0"/>
    <numFmt numFmtId="173" formatCode="#,##0.0_);\(#,##0.0\)"/>
    <numFmt numFmtId="174" formatCode="0.000"/>
    <numFmt numFmtId="175" formatCode="#,##0.0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GHEA Grapalat"/>
      <family val="3"/>
    </font>
    <font>
      <b/>
      <sz val="14"/>
      <color theme="1"/>
      <name val="GHEA Grapalat"/>
      <family val="3"/>
    </font>
    <font>
      <sz val="11"/>
      <color indexed="8"/>
      <name val="GHEA Grapalat"/>
      <family val="3"/>
    </font>
    <font>
      <sz val="8"/>
      <color theme="1"/>
      <name val="GHEA Grapalat"/>
      <family val="3"/>
    </font>
    <font>
      <i/>
      <sz val="12"/>
      <color theme="1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i/>
      <sz val="12"/>
      <color indexed="8"/>
      <name val="GHEA Grapalat"/>
      <family val="3"/>
    </font>
    <font>
      <sz val="11"/>
      <color indexed="8"/>
      <name val="Calibri"/>
      <family val="2"/>
    </font>
    <font>
      <b/>
      <i/>
      <sz val="12"/>
      <name val="GHEA Grapalat"/>
      <family val="3"/>
    </font>
    <font>
      <sz val="12"/>
      <color indexed="8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i/>
      <sz val="12"/>
      <name val="GHEA Grapalat"/>
      <family val="3"/>
    </font>
    <font>
      <i/>
      <sz val="12"/>
      <color indexed="8"/>
      <name val="GHEA Grapalat"/>
      <family val="3"/>
    </font>
    <font>
      <i/>
      <sz val="10"/>
      <color indexed="8"/>
      <name val="GHEA Grapalat"/>
      <family val="3"/>
    </font>
    <font>
      <b/>
      <sz val="11"/>
      <color indexed="8"/>
      <name val="GHEA Grapalat"/>
      <family val="3"/>
    </font>
    <font>
      <b/>
      <i/>
      <sz val="11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56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22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2" fillId="0" borderId="1" xfId="0" applyFont="1" applyBorder="1" applyAlignment="1">
      <alignment horizontal="left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wrapText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horizontal="center" wrapText="1"/>
    </xf>
    <xf numFmtId="165" fontId="3" fillId="3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9" fillId="0" borderId="0" xfId="0" applyFont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center"/>
    </xf>
    <xf numFmtId="166" fontId="6" fillId="4" borderId="1" xfId="0" applyNumberFormat="1" applyFont="1" applyFill="1" applyBorder="1" applyAlignment="1">
      <alignment horizontal="center"/>
    </xf>
    <xf numFmtId="0" fontId="2" fillId="0" borderId="4" xfId="0" applyFont="1" applyBorder="1" applyAlignment="1"/>
    <xf numFmtId="168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vertical="top"/>
    </xf>
    <xf numFmtId="0" fontId="12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wrapText="1"/>
    </xf>
    <xf numFmtId="166" fontId="6" fillId="5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0" fontId="0" fillId="0" borderId="0" xfId="0"/>
    <xf numFmtId="166" fontId="2" fillId="0" borderId="1" xfId="1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0" xfId="0"/>
    <xf numFmtId="0" fontId="9" fillId="0" borderId="0" xfId="0" applyFont="1"/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vertical="center" wrapText="1"/>
    </xf>
    <xf numFmtId="168" fontId="4" fillId="6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68" fontId="1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1" xfId="0" applyFont="1" applyBorder="1"/>
    <xf numFmtId="0" fontId="16" fillId="0" borderId="1" xfId="3" applyFont="1" applyBorder="1" applyAlignment="1">
      <alignment vertical="center" wrapText="1"/>
    </xf>
    <xf numFmtId="2" fontId="18" fillId="0" borderId="1" xfId="4" applyNumberFormat="1" applyFont="1" applyFill="1" applyBorder="1" applyAlignment="1">
      <alignment horizontal="center" vertical="center" wrapText="1"/>
    </xf>
    <xf numFmtId="0" fontId="19" fillId="0" borderId="1" xfId="3" applyFont="1" applyBorder="1" applyAlignment="1">
      <alignment horizontal="left" vertical="center" wrapText="1" indent="15"/>
    </xf>
    <xf numFmtId="2" fontId="9" fillId="0" borderId="1" xfId="0" applyNumberFormat="1" applyFont="1" applyBorder="1" applyAlignment="1">
      <alignment horizontal="center" vertical="center" wrapText="1"/>
    </xf>
    <xf numFmtId="2" fontId="20" fillId="0" borderId="1" xfId="4" applyNumberFormat="1" applyFont="1" applyFill="1" applyBorder="1" applyAlignment="1">
      <alignment horizontal="center" vertical="center" wrapText="1"/>
    </xf>
    <xf numFmtId="0" fontId="21" fillId="0" borderId="1" xfId="3" applyFont="1" applyBorder="1" applyAlignment="1">
      <alignment horizontal="left" vertical="center" wrapText="1" indent="2"/>
    </xf>
    <xf numFmtId="2" fontId="14" fillId="0" borderId="1" xfId="4" applyNumberFormat="1" applyFont="1" applyFill="1" applyBorder="1" applyAlignment="1">
      <alignment horizontal="center" vertical="center" wrapText="1"/>
    </xf>
    <xf numFmtId="2" fontId="22" fillId="0" borderId="1" xfId="4" applyNumberFormat="1" applyFont="1" applyFill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left" vertical="center" wrapText="1" indent="3"/>
    </xf>
    <xf numFmtId="2" fontId="20" fillId="0" borderId="7" xfId="4" applyNumberFormat="1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left" vertical="center" wrapText="1" indent="15"/>
    </xf>
    <xf numFmtId="0" fontId="20" fillId="0" borderId="1" xfId="3" applyFont="1" applyFill="1" applyBorder="1" applyAlignment="1">
      <alignment horizontal="left" vertical="center" wrapText="1" indent="7"/>
    </xf>
    <xf numFmtId="0" fontId="23" fillId="0" borderId="1" xfId="3" applyFont="1" applyBorder="1" applyAlignment="1">
      <alignment horizontal="left" vertical="center" indent="3"/>
    </xf>
    <xf numFmtId="0" fontId="19" fillId="0" borderId="1" xfId="3" applyFont="1" applyBorder="1" applyAlignment="1">
      <alignment horizontal="left" vertical="center" indent="11"/>
    </xf>
    <xf numFmtId="0" fontId="19" fillId="0" borderId="1" xfId="3" applyFont="1" applyBorder="1" applyAlignment="1">
      <alignment horizontal="left" vertical="center" indent="7"/>
    </xf>
    <xf numFmtId="0" fontId="24" fillId="0" borderId="0" xfId="3" applyFont="1" applyAlignment="1">
      <alignment vertical="center"/>
    </xf>
    <xf numFmtId="0" fontId="21" fillId="0" borderId="1" xfId="3" applyFont="1" applyBorder="1" applyAlignment="1">
      <alignment horizontal="left" vertical="center" wrapText="1"/>
    </xf>
    <xf numFmtId="2" fontId="14" fillId="0" borderId="1" xfId="4" applyNumberFormat="1" applyFont="1" applyBorder="1" applyAlignment="1">
      <alignment horizontal="center" vertical="center" wrapText="1"/>
    </xf>
    <xf numFmtId="2" fontId="20" fillId="0" borderId="1" xfId="4" applyNumberFormat="1" applyFont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left" vertical="center" wrapText="1" indent="2"/>
    </xf>
    <xf numFmtId="2" fontId="22" fillId="0" borderId="1" xfId="4" applyNumberFormat="1" applyFont="1" applyBorder="1" applyAlignment="1">
      <alignment horizontal="center" vertical="center" wrapText="1"/>
    </xf>
    <xf numFmtId="2" fontId="22" fillId="0" borderId="1" xfId="2" applyNumberFormat="1" applyFont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left" vertical="center" wrapText="1" indent="5"/>
    </xf>
    <xf numFmtId="0" fontId="19" fillId="0" borderId="1" xfId="3" applyFont="1" applyFill="1" applyBorder="1" applyAlignment="1">
      <alignment horizontal="left" vertical="center" wrapText="1" indent="5"/>
    </xf>
    <xf numFmtId="0" fontId="19" fillId="0" borderId="1" xfId="3" applyFont="1" applyFill="1" applyBorder="1" applyAlignment="1">
      <alignment horizontal="left" vertical="center" wrapText="1"/>
    </xf>
    <xf numFmtId="0" fontId="19" fillId="0" borderId="1" xfId="3" applyFont="1" applyBorder="1" applyAlignment="1">
      <alignment horizontal="left" vertical="center" wrapText="1" indent="5"/>
    </xf>
    <xf numFmtId="0" fontId="23" fillId="0" borderId="0" xfId="3" applyFont="1" applyBorder="1" applyAlignment="1">
      <alignment vertical="center" wrapText="1"/>
    </xf>
    <xf numFmtId="0" fontId="9" fillId="0" borderId="0" xfId="0" applyFont="1" applyBorder="1"/>
    <xf numFmtId="169" fontId="19" fillId="0" borderId="1" xfId="5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 indent="4"/>
    </xf>
    <xf numFmtId="1" fontId="20" fillId="7" borderId="1" xfId="5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2" fontId="20" fillId="0" borderId="1" xfId="15" applyNumberFormat="1" applyFont="1" applyBorder="1" applyAlignment="1">
      <alignment horizontal="center" vertical="center" wrapText="1"/>
    </xf>
    <xf numFmtId="2" fontId="20" fillId="0" borderId="1" xfId="16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indent="2"/>
    </xf>
    <xf numFmtId="2" fontId="20" fillId="0" borderId="1" xfId="18" applyNumberFormat="1" applyFont="1" applyBorder="1" applyAlignment="1">
      <alignment horizontal="center" vertical="center" wrapText="1"/>
    </xf>
    <xf numFmtId="2" fontId="20" fillId="0" borderId="1" xfId="20" applyNumberFormat="1" applyFont="1" applyFill="1" applyBorder="1" applyAlignment="1">
      <alignment horizontal="center" vertical="center" wrapText="1"/>
    </xf>
    <xf numFmtId="2" fontId="20" fillId="0" borderId="1" xfId="23" applyNumberFormat="1" applyFont="1" applyFill="1" applyBorder="1" applyAlignment="1">
      <alignment horizontal="center" vertical="center" wrapText="1"/>
    </xf>
    <xf numFmtId="2" fontId="20" fillId="0" borderId="1" xfId="25" applyNumberFormat="1" applyFont="1" applyBorder="1" applyAlignment="1">
      <alignment horizontal="center" vertical="center" wrapText="1"/>
    </xf>
    <xf numFmtId="2" fontId="20" fillId="0" borderId="1" xfId="26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indent="4"/>
    </xf>
    <xf numFmtId="1" fontId="20" fillId="0" borderId="1" xfId="16" applyNumberFormat="1" applyFont="1" applyBorder="1" applyAlignment="1">
      <alignment horizontal="center" vertical="center" wrapText="1"/>
    </xf>
    <xf numFmtId="1" fontId="20" fillId="0" borderId="1" xfId="26" applyNumberFormat="1" applyFont="1" applyBorder="1" applyAlignment="1">
      <alignment horizontal="center" vertical="center" wrapText="1"/>
    </xf>
    <xf numFmtId="0" fontId="20" fillId="0" borderId="1" xfId="2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70" fontId="20" fillId="0" borderId="1" xfId="9" applyNumberFormat="1" applyFont="1" applyBorder="1" applyAlignment="1">
      <alignment horizontal="center" vertical="center" wrapText="1"/>
    </xf>
    <xf numFmtId="170" fontId="20" fillId="0" borderId="1" xfId="7" applyNumberFormat="1" applyFont="1" applyBorder="1" applyAlignment="1">
      <alignment horizontal="center" vertical="center" wrapText="1"/>
    </xf>
    <xf numFmtId="2" fontId="9" fillId="0" borderId="0" xfId="0" applyNumberFormat="1" applyFont="1" applyBorder="1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8" fontId="0" fillId="0" borderId="0" xfId="0" applyNumberFormat="1"/>
    <xf numFmtId="0" fontId="2" fillId="0" borderId="3" xfId="0" applyFont="1" applyBorder="1" applyAlignment="1"/>
    <xf numFmtId="0" fontId="9" fillId="0" borderId="0" xfId="0" applyFont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8" xfId="0" applyFont="1" applyBorder="1" applyAlignment="1"/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horizontal="left" vertical="center" wrapText="1"/>
    </xf>
    <xf numFmtId="170" fontId="20" fillId="0" borderId="1" xfId="8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4" fillId="0" borderId="0" xfId="0" applyFont="1" applyAlignment="1">
      <alignment vertical="top"/>
    </xf>
    <xf numFmtId="171" fontId="9" fillId="0" borderId="1" xfId="0" applyNumberFormat="1" applyFont="1" applyBorder="1" applyAlignment="1">
      <alignment horizontal="center" vertical="center" wrapText="1"/>
    </xf>
    <xf numFmtId="171" fontId="2" fillId="0" borderId="1" xfId="0" applyNumberFormat="1" applyFont="1" applyBorder="1" applyAlignment="1">
      <alignment horizontal="center" vertical="center" wrapText="1"/>
    </xf>
    <xf numFmtId="2" fontId="18" fillId="6" borderId="1" xfId="4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71" fontId="9" fillId="0" borderId="1" xfId="0" applyNumberFormat="1" applyFont="1" applyFill="1" applyBorder="1" applyAlignment="1">
      <alignment horizontal="center" vertical="center" wrapText="1"/>
    </xf>
    <xf numFmtId="171" fontId="4" fillId="0" borderId="1" xfId="0" applyNumberFormat="1" applyFont="1" applyBorder="1" applyAlignment="1">
      <alignment horizontal="center" vertical="center" wrapText="1"/>
    </xf>
    <xf numFmtId="171" fontId="20" fillId="0" borderId="1" xfId="2" applyNumberFormat="1" applyFont="1" applyBorder="1" applyAlignment="1">
      <alignment horizontal="center" vertical="center" wrapText="1"/>
    </xf>
    <xf numFmtId="39" fontId="21" fillId="0" borderId="8" xfId="5" applyNumberFormat="1" applyFont="1" applyFill="1" applyBorder="1" applyAlignment="1">
      <alignment horizontal="center" vertical="center"/>
    </xf>
    <xf numFmtId="39" fontId="21" fillId="0" borderId="1" xfId="5" applyNumberFormat="1" applyFont="1" applyFill="1" applyBorder="1" applyAlignment="1">
      <alignment horizontal="center" vertical="center"/>
    </xf>
    <xf numFmtId="2" fontId="20" fillId="0" borderId="1" xfId="7" applyNumberFormat="1" applyFont="1" applyBorder="1" applyAlignment="1">
      <alignment horizontal="center" vertical="center" wrapText="1"/>
    </xf>
    <xf numFmtId="2" fontId="20" fillId="0" borderId="1" xfId="8" applyNumberFormat="1" applyFont="1" applyBorder="1" applyAlignment="1">
      <alignment horizontal="center" vertical="center" wrapText="1"/>
    </xf>
    <xf numFmtId="2" fontId="20" fillId="0" borderId="1" xfId="9" applyNumberFormat="1" applyFont="1" applyBorder="1" applyAlignment="1">
      <alignment horizontal="center" vertical="center" wrapText="1"/>
    </xf>
    <xf numFmtId="2" fontId="20" fillId="0" borderId="1" xfId="2" applyNumberFormat="1" applyFont="1" applyBorder="1" applyAlignment="1">
      <alignment horizontal="center" vertical="center" wrapText="1"/>
    </xf>
    <xf numFmtId="171" fontId="2" fillId="6" borderId="1" xfId="0" applyNumberFormat="1" applyFont="1" applyFill="1" applyBorder="1" applyAlignment="1">
      <alignment horizontal="center" vertical="center" wrapText="1"/>
    </xf>
    <xf numFmtId="171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167" fontId="2" fillId="0" borderId="1" xfId="1" applyNumberFormat="1" applyFont="1" applyBorder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/>
    </xf>
    <xf numFmtId="0" fontId="2" fillId="6" borderId="4" xfId="0" applyFont="1" applyFill="1" applyBorder="1" applyAlignment="1"/>
    <xf numFmtId="166" fontId="6" fillId="6" borderId="1" xfId="0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 wrapText="1"/>
    </xf>
    <xf numFmtId="166" fontId="3" fillId="6" borderId="1" xfId="0" applyNumberFormat="1" applyFont="1" applyFill="1" applyBorder="1" applyAlignment="1">
      <alignment horizontal="center"/>
    </xf>
    <xf numFmtId="166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wrapText="1"/>
    </xf>
    <xf numFmtId="0" fontId="7" fillId="0" borderId="0" xfId="0" applyFont="1" applyAlignment="1"/>
    <xf numFmtId="4" fontId="6" fillId="4" borderId="1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2" borderId="1" xfId="1" applyNumberFormat="1" applyFont="1" applyFill="1" applyBorder="1" applyAlignment="1">
      <alignment horizontal="center"/>
    </xf>
    <xf numFmtId="167" fontId="6" fillId="5" borderId="1" xfId="0" applyNumberFormat="1" applyFont="1" applyFill="1" applyBorder="1" applyAlignment="1">
      <alignment horizontal="center" vertical="center" wrapText="1"/>
    </xf>
    <xf numFmtId="167" fontId="6" fillId="5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/>
    </xf>
    <xf numFmtId="4" fontId="2" fillId="6" borderId="1" xfId="0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 vertical="center" wrapText="1"/>
    </xf>
    <xf numFmtId="171" fontId="2" fillId="6" borderId="1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0" fontId="2" fillId="0" borderId="0" xfId="0" applyFont="1" applyAlignment="1"/>
    <xf numFmtId="0" fontId="2" fillId="6" borderId="4" xfId="0" applyFont="1" applyFill="1" applyBorder="1" applyAlignment="1">
      <alignment vertical="center" wrapText="1"/>
    </xf>
    <xf numFmtId="4" fontId="3" fillId="2" borderId="0" xfId="0" applyNumberFormat="1" applyFont="1" applyFill="1" applyAlignment="1">
      <alignment horizontal="center"/>
    </xf>
    <xf numFmtId="4" fontId="6" fillId="5" borderId="1" xfId="0" applyNumberFormat="1" applyFont="1" applyFill="1" applyBorder="1" applyAlignment="1">
      <alignment horizontal="center"/>
    </xf>
    <xf numFmtId="4" fontId="2" fillId="0" borderId="6" xfId="0" applyNumberFormat="1" applyFont="1" applyBorder="1" applyAlignment="1">
      <alignment horizontal="center" vertical="center" wrapText="1"/>
    </xf>
    <xf numFmtId="4" fontId="2" fillId="6" borderId="6" xfId="1" applyNumberFormat="1" applyFont="1" applyFill="1" applyBorder="1" applyAlignment="1">
      <alignment horizontal="center" vertical="center"/>
    </xf>
    <xf numFmtId="171" fontId="2" fillId="6" borderId="1" xfId="1" applyNumberFormat="1" applyFont="1" applyFill="1" applyBorder="1" applyAlignment="1">
      <alignment horizontal="center" vertical="center" wrapText="1"/>
    </xf>
    <xf numFmtId="165" fontId="2" fillId="6" borderId="1" xfId="1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" fontId="2" fillId="6" borderId="1" xfId="1" applyNumberFormat="1" applyFont="1" applyFill="1" applyBorder="1" applyAlignment="1">
      <alignment horizontal="center" vertical="center"/>
    </xf>
    <xf numFmtId="167" fontId="6" fillId="5" borderId="1" xfId="1" applyNumberFormat="1" applyFont="1" applyFill="1" applyBorder="1" applyAlignment="1">
      <alignment horizontal="center" vertical="center"/>
    </xf>
    <xf numFmtId="171" fontId="2" fillId="0" borderId="1" xfId="1" applyNumberFormat="1" applyFont="1" applyBorder="1" applyAlignment="1">
      <alignment horizontal="center" vertical="center" wrapText="1"/>
    </xf>
    <xf numFmtId="2" fontId="6" fillId="5" borderId="1" xfId="1" applyNumberFormat="1" applyFont="1" applyFill="1" applyBorder="1" applyAlignment="1">
      <alignment horizontal="center" vertical="center"/>
    </xf>
    <xf numFmtId="2" fontId="6" fillId="5" borderId="1" xfId="1" applyNumberFormat="1" applyFont="1" applyFill="1" applyBorder="1" applyAlignment="1">
      <alignment horizontal="center" vertical="center" wrapText="1"/>
    </xf>
    <xf numFmtId="2" fontId="22" fillId="0" borderId="1" xfId="4" applyNumberFormat="1" applyFont="1" applyBorder="1" applyAlignment="1">
      <alignment horizontal="center" vertical="center"/>
    </xf>
    <xf numFmtId="172" fontId="9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3" fillId="6" borderId="1" xfId="0" applyNumberFormat="1" applyFont="1" applyFill="1" applyBorder="1" applyAlignment="1">
      <alignment horizontal="center" vertical="center" wrapText="1"/>
    </xf>
    <xf numFmtId="166" fontId="22" fillId="0" borderId="4" xfId="4" applyNumberFormat="1" applyFont="1" applyFill="1" applyBorder="1" applyAlignment="1">
      <alignment horizontal="center" vertical="center"/>
    </xf>
    <xf numFmtId="167" fontId="22" fillId="0" borderId="1" xfId="4" applyNumberFormat="1" applyFont="1" applyBorder="1" applyAlignment="1">
      <alignment horizontal="center" vertical="center"/>
    </xf>
    <xf numFmtId="4" fontId="20" fillId="0" borderId="1" xfId="4" applyNumberFormat="1" applyFont="1" applyFill="1" applyBorder="1" applyAlignment="1">
      <alignment horizontal="center" vertical="center" wrapText="1"/>
    </xf>
    <xf numFmtId="4" fontId="20" fillId="0" borderId="1" xfId="4" applyNumberFormat="1" applyFont="1" applyFill="1" applyBorder="1" applyAlignment="1">
      <alignment horizontal="center" vertical="center" wrapText="1" shrinkToFit="1"/>
    </xf>
    <xf numFmtId="173" fontId="25" fillId="0" borderId="8" xfId="5" applyNumberFormat="1" applyFont="1" applyFill="1" applyBorder="1" applyAlignment="1">
      <alignment horizontal="center" vertical="center"/>
    </xf>
    <xf numFmtId="4" fontId="22" fillId="0" borderId="1" xfId="4" applyNumberFormat="1" applyFont="1" applyFill="1" applyBorder="1" applyAlignment="1">
      <alignment horizontal="center" vertical="center" wrapText="1"/>
    </xf>
    <xf numFmtId="4" fontId="14" fillId="0" borderId="4" xfId="4" applyNumberFormat="1" applyFont="1" applyFill="1" applyBorder="1" applyAlignment="1">
      <alignment horizontal="center" vertical="center" wrapText="1"/>
    </xf>
    <xf numFmtId="4" fontId="22" fillId="0" borderId="4" xfId="4" applyNumberFormat="1" applyFont="1" applyFill="1" applyBorder="1" applyAlignment="1">
      <alignment horizontal="center" vertical="center" wrapText="1"/>
    </xf>
    <xf numFmtId="167" fontId="2" fillId="6" borderId="1" xfId="1" applyNumberFormat="1" applyFont="1" applyFill="1" applyBorder="1" applyAlignment="1">
      <alignment horizontal="center" vertical="center" wrapText="1"/>
    </xf>
    <xf numFmtId="174" fontId="2" fillId="6" borderId="1" xfId="0" applyNumberFormat="1" applyFont="1" applyFill="1" applyBorder="1" applyAlignment="1">
      <alignment horizontal="center" vertical="center"/>
    </xf>
    <xf numFmtId="174" fontId="2" fillId="0" borderId="1" xfId="0" applyNumberFormat="1" applyFont="1" applyBorder="1" applyAlignment="1">
      <alignment horizontal="center" vertical="center" wrapText="1"/>
    </xf>
    <xf numFmtId="175" fontId="2" fillId="0" borderId="1" xfId="1" applyNumberFormat="1" applyFont="1" applyBorder="1" applyAlignment="1">
      <alignment horizontal="center" vertical="center" wrapText="1"/>
    </xf>
    <xf numFmtId="4" fontId="26" fillId="0" borderId="0" xfId="4" applyNumberFormat="1" applyFont="1" applyAlignment="1">
      <alignment horizontal="center" vertical="center"/>
    </xf>
    <xf numFmtId="0" fontId="12" fillId="0" borderId="9" xfId="0" applyFont="1" applyBorder="1" applyAlignment="1">
      <alignment horizontal="left" vertical="center" wrapText="1"/>
    </xf>
    <xf numFmtId="167" fontId="20" fillId="0" borderId="10" xfId="5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4" fillId="0" borderId="0" xfId="3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</cellXfs>
  <cellStyles count="28">
    <cellStyle name="Comma" xfId="1" builtinId="3"/>
    <cellStyle name="Comma 2" xfId="10"/>
    <cellStyle name="Comma 2 33" xfId="12"/>
    <cellStyle name="Comma 2 42" xfId="13"/>
    <cellStyle name="Comma 2 83" xfId="11"/>
    <cellStyle name="Comma 3" xfId="4"/>
    <cellStyle name="Comma 3 2" xfId="5"/>
    <cellStyle name="Comma 38" xfId="15"/>
    <cellStyle name="Comma 41" xfId="18"/>
    <cellStyle name="Comma 43" xfId="20"/>
    <cellStyle name="Comma 45" xfId="23"/>
    <cellStyle name="Comma 47" xfId="25"/>
    <cellStyle name="Comma 48" xfId="16"/>
    <cellStyle name="Comma 49" xfId="21"/>
    <cellStyle name="Comma 50" xfId="24"/>
    <cellStyle name="Comma 51" xfId="26"/>
    <cellStyle name="Comma 90" xfId="14"/>
    <cellStyle name="Comma 91" xfId="17"/>
    <cellStyle name="Comma 92" xfId="19"/>
    <cellStyle name="Comma 93" xfId="22"/>
    <cellStyle name="Comma 94" xfId="27"/>
    <cellStyle name="Normal" xfId="0" builtinId="0"/>
    <cellStyle name="Normal 2" xfId="3"/>
    <cellStyle name="Percent" xfId="2" builtinId="5"/>
    <cellStyle name="Percent 2" xfId="6"/>
    <cellStyle name="Percent 2 26" xfId="8"/>
    <cellStyle name="Percent 2 27" xfId="9"/>
    <cellStyle name="Percent 2 81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My%20Documents/Downloads/8d437cf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My%20Documents/Downloads/2017_amsakan_vijakagrakan_texekagir_a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My%20Documents/Downloads/2018-a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Պետական պարտք"/>
      <sheetName val="Պակասուրդի ֆինանսավորում"/>
      <sheetName val="Կառ.պարտքի կառուցվածք"/>
      <sheetName val="Գանձապետական պարտատոմսեր"/>
      <sheetName val="Կառ. արտաքին վարկեր"/>
      <sheetName val="Արտարժութային պարտատոմսեր"/>
      <sheetName val="ԿԲ արտաքին պարտք"/>
      <sheetName val="Ենթավարկեր"/>
    </sheetNames>
    <sheetDataSet>
      <sheetData sheetId="0"/>
      <sheetData sheetId="1">
        <row r="6">
          <cell r="F6">
            <v>4.2499919106344999</v>
          </cell>
        </row>
        <row r="8">
          <cell r="F8">
            <v>3.6876293937</v>
          </cell>
        </row>
        <row r="10">
          <cell r="F10">
            <v>3.6876293937</v>
          </cell>
        </row>
        <row r="12">
          <cell r="F12">
            <v>9.4233202767000002</v>
          </cell>
        </row>
        <row r="13">
          <cell r="F13">
            <v>-5.7356908830000002</v>
          </cell>
        </row>
        <row r="15">
          <cell r="F15">
            <v>0.5623625169344999</v>
          </cell>
        </row>
        <row r="17">
          <cell r="F17">
            <v>0.5623625169344999</v>
          </cell>
        </row>
        <row r="19">
          <cell r="F19">
            <v>4.8520759526399999</v>
          </cell>
        </row>
        <row r="23">
          <cell r="F23">
            <v>-4.2897134357055</v>
          </cell>
        </row>
        <row r="38">
          <cell r="F38">
            <v>18.291633580044401</v>
          </cell>
        </row>
        <row r="40">
          <cell r="F40">
            <v>0.33134648100000003</v>
          </cell>
        </row>
        <row r="42">
          <cell r="F42">
            <v>0.33134648100000003</v>
          </cell>
        </row>
        <row r="44">
          <cell r="F44">
            <v>17.9602870990444</v>
          </cell>
        </row>
        <row r="46">
          <cell r="F46">
            <v>2.3962395550443998</v>
          </cell>
        </row>
      </sheetData>
      <sheetData sheetId="2"/>
      <sheetData sheetId="3"/>
      <sheetData sheetId="4">
        <row r="59">
          <cell r="D59">
            <v>5.0617650000000003</v>
          </cell>
        </row>
        <row r="60">
          <cell r="D60">
            <v>9.0614985899999994</v>
          </cell>
        </row>
        <row r="61">
          <cell r="D61">
            <v>9.9888382359999994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Պետական պարտք"/>
      <sheetName val="Պակասուրդի ֆինանսավորում"/>
      <sheetName val="Կառավարության պարտքի կառուցվածք"/>
      <sheetName val="Գանձապ. պարտատոմսերի կառուցվածք"/>
      <sheetName val="Գանձապետական պարտատոմսեր"/>
      <sheetName val="Կառավարության արտաքին վարկեր"/>
      <sheetName val="Արտարժութային պարտատոմսեր"/>
      <sheetName val="ԿԲ արտաքին պարտք"/>
      <sheetName val="Ենթավարկեր"/>
    </sheetNames>
    <sheetDataSet>
      <sheetData sheetId="0"/>
      <sheetData sheetId="1">
        <row r="6">
          <cell r="F6">
            <v>6.0976766710144013</v>
          </cell>
        </row>
        <row r="8">
          <cell r="F8">
            <v>7.2989039035000012</v>
          </cell>
        </row>
        <row r="10">
          <cell r="F10">
            <v>7.2989039035000012</v>
          </cell>
        </row>
        <row r="12">
          <cell r="F12">
            <v>29.0495542675</v>
          </cell>
        </row>
        <row r="13">
          <cell r="F13">
            <v>-21.750650363999998</v>
          </cell>
        </row>
        <row r="15">
          <cell r="F15">
            <v>-1.2012272324855995</v>
          </cell>
        </row>
        <row r="17">
          <cell r="F17">
            <v>-1.2012272324855995</v>
          </cell>
        </row>
        <row r="19">
          <cell r="F19">
            <v>3.3660924020010001</v>
          </cell>
        </row>
        <row r="21">
          <cell r="F21">
            <v>3.3660924020010001</v>
          </cell>
        </row>
        <row r="23">
          <cell r="F23">
            <v>-4.5673196344865996</v>
          </cell>
        </row>
        <row r="33">
          <cell r="F33">
            <v>18.596920738116999</v>
          </cell>
        </row>
        <row r="35">
          <cell r="F35">
            <v>0.79642864925000001</v>
          </cell>
        </row>
        <row r="37">
          <cell r="F37">
            <v>0.79642864925000001</v>
          </cell>
        </row>
        <row r="39">
          <cell r="F39">
            <v>17.800492088866999</v>
          </cell>
        </row>
        <row r="41">
          <cell r="F41">
            <v>2.1720053112669997</v>
          </cell>
        </row>
      </sheetData>
      <sheetData sheetId="2"/>
      <sheetData sheetId="3"/>
      <sheetData sheetId="4"/>
      <sheetData sheetId="5">
        <row r="59">
          <cell r="E59">
            <v>4.5691798100000023</v>
          </cell>
        </row>
        <row r="60">
          <cell r="E60">
            <v>9.6081278100000009</v>
          </cell>
        </row>
        <row r="61">
          <cell r="E61">
            <v>6.9407898189999999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Պետական պարտք"/>
      <sheetName val="Պակասուրդի ֆինանսավորում"/>
      <sheetName val="Կառավարության պարտքի կառուցվածք"/>
      <sheetName val="Պարտքի ցուցանիշներ"/>
      <sheetName val="Գանձապետ.ՊարտատոմսերիԿառուցվածք"/>
      <sheetName val="Գանձապետական պարտատոմսեր"/>
      <sheetName val="Կառավարության արտաքին վարկեր"/>
      <sheetName val="Արտարժութային պարտատոմսեր"/>
      <sheetName val="Երաշխիքներ"/>
      <sheetName val="ԿԲ արտաքին պարտք"/>
      <sheetName val="Ենթավարկեր"/>
    </sheetNames>
    <sheetDataSet>
      <sheetData sheetId="0"/>
      <sheetData sheetId="1"/>
      <sheetData sheetId="2"/>
      <sheetData sheetId="3"/>
      <sheetData sheetId="4"/>
      <sheetData sheetId="5"/>
      <sheetData sheetId="6">
        <row r="58">
          <cell r="E58">
            <v>6.1253489400000003</v>
          </cell>
        </row>
        <row r="59">
          <cell r="E59">
            <v>12.950476289999999</v>
          </cell>
        </row>
        <row r="60">
          <cell r="E60">
            <v>17.331170492999998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Layout" topLeftCell="A25" workbookViewId="0">
      <selection activeCell="H28" sqref="H28"/>
    </sheetView>
  </sheetViews>
  <sheetFormatPr defaultRowHeight="15"/>
  <cols>
    <col min="1" max="1" width="55.85546875" customWidth="1"/>
    <col min="2" max="2" width="12" customWidth="1"/>
    <col min="3" max="3" width="11.85546875" style="25" customWidth="1"/>
    <col min="4" max="5" width="11.85546875" style="44" customWidth="1"/>
    <col min="6" max="6" width="13" style="10" customWidth="1"/>
    <col min="7" max="7" width="13" customWidth="1"/>
    <col min="8" max="8" width="12" customWidth="1"/>
  </cols>
  <sheetData>
    <row r="1" spans="1:8" s="10" customFormat="1" ht="20.25">
      <c r="A1" s="157" t="s">
        <v>34</v>
      </c>
      <c r="B1" s="157"/>
      <c r="C1" s="157"/>
      <c r="D1" s="157"/>
      <c r="E1" s="157"/>
      <c r="F1" s="157"/>
      <c r="G1" s="157"/>
      <c r="H1" s="157"/>
    </row>
    <row r="2" spans="1:8" s="10" customFormat="1" ht="27" customHeight="1">
      <c r="A2" s="205" t="s">
        <v>124</v>
      </c>
      <c r="B2" s="205"/>
      <c r="C2" s="205"/>
      <c r="D2" s="205"/>
      <c r="E2" s="205"/>
      <c r="F2" s="205"/>
      <c r="G2" s="205"/>
      <c r="H2" s="205"/>
    </row>
    <row r="3" spans="1:8" s="10" customFormat="1" ht="14.25" customHeight="1">
      <c r="A3" s="157"/>
      <c r="B3" s="157"/>
      <c r="C3" s="171" t="s">
        <v>71</v>
      </c>
      <c r="D3" s="157"/>
      <c r="E3" s="157"/>
      <c r="F3" s="157"/>
      <c r="G3" s="157"/>
      <c r="H3" s="157"/>
    </row>
    <row r="4" spans="1:8" ht="3.75" customHeight="1">
      <c r="A4" s="208" t="s">
        <v>51</v>
      </c>
      <c r="B4" s="208"/>
      <c r="C4" s="24"/>
      <c r="D4" s="120"/>
      <c r="E4" s="120"/>
      <c r="F4" s="17"/>
      <c r="G4" s="16"/>
      <c r="H4" s="16"/>
    </row>
    <row r="5" spans="1:8" ht="76.5" customHeight="1">
      <c r="A5" s="2"/>
      <c r="B5" s="11" t="s">
        <v>142</v>
      </c>
      <c r="C5" s="11" t="s">
        <v>138</v>
      </c>
      <c r="D5" s="11" t="s">
        <v>117</v>
      </c>
      <c r="E5" s="11" t="s">
        <v>125</v>
      </c>
      <c r="F5" s="33" t="s">
        <v>145</v>
      </c>
      <c r="G5" s="33" t="s">
        <v>146</v>
      </c>
      <c r="H5" s="33" t="s">
        <v>147</v>
      </c>
    </row>
    <row r="6" spans="1:8" ht="16.5">
      <c r="A6" s="27" t="s">
        <v>28</v>
      </c>
      <c r="B6" s="158">
        <v>2503.5250662645699</v>
      </c>
      <c r="C6" s="158">
        <v>2902.0015481851701</v>
      </c>
      <c r="D6" s="158">
        <v>3279.5859263171801</v>
      </c>
      <c r="E6" s="158">
        <v>3306.24245748981</v>
      </c>
      <c r="F6" s="159">
        <f>E6/B6*100</f>
        <v>132.06348528488869</v>
      </c>
      <c r="G6" s="159">
        <f>E6/C6*100</f>
        <v>113.92972755501943</v>
      </c>
      <c r="H6" s="159">
        <f>E6/D6*100</f>
        <v>100.81280173081375</v>
      </c>
    </row>
    <row r="7" spans="1:8" ht="16.5">
      <c r="A7" s="119" t="s">
        <v>27</v>
      </c>
      <c r="B7" s="28"/>
      <c r="C7" s="28"/>
      <c r="D7" s="28"/>
      <c r="E7" s="151"/>
      <c r="F7" s="154"/>
      <c r="G7" s="154"/>
      <c r="H7" s="154"/>
    </row>
    <row r="8" spans="1:8" ht="16.5" customHeight="1">
      <c r="A8" s="12" t="s">
        <v>30</v>
      </c>
      <c r="B8" s="160">
        <v>2268.7266181652399</v>
      </c>
      <c r="C8" s="161">
        <v>2651.4041493300201</v>
      </c>
      <c r="D8" s="161">
        <v>2988.3796274422398</v>
      </c>
      <c r="E8" s="161">
        <v>3012.9721988748602</v>
      </c>
      <c r="F8" s="160">
        <f t="shared" ref="F8:F24" si="0">E8/B8*100</f>
        <v>132.80455100894903</v>
      </c>
      <c r="G8" s="160">
        <f t="shared" ref="G8:G24" si="1">E8/C8*100</f>
        <v>113.63685161450034</v>
      </c>
      <c r="H8" s="160">
        <f t="shared" ref="H8:H16" si="2">E8/D8*100</f>
        <v>100.82294000423464</v>
      </c>
    </row>
    <row r="9" spans="1:8" ht="16.5">
      <c r="A9" s="116" t="s">
        <v>3</v>
      </c>
      <c r="B9" s="117"/>
      <c r="C9" s="117"/>
      <c r="D9" s="122"/>
      <c r="E9" s="153"/>
      <c r="F9" s="152"/>
      <c r="G9" s="152"/>
      <c r="H9" s="152"/>
    </row>
    <row r="10" spans="1:8" ht="16.5">
      <c r="A10" s="35" t="s">
        <v>2</v>
      </c>
      <c r="B10" s="162">
        <v>1884.9790253449601</v>
      </c>
      <c r="C10" s="162">
        <v>2085.9286735800201</v>
      </c>
      <c r="D10" s="162">
        <v>2368.8772739422402</v>
      </c>
      <c r="E10" s="162">
        <v>2382.9282083748599</v>
      </c>
      <c r="F10" s="163">
        <f t="shared" si="0"/>
        <v>126.41669622497645</v>
      </c>
      <c r="G10" s="163">
        <f t="shared" si="1"/>
        <v>114.2382401928014</v>
      </c>
      <c r="H10" s="163">
        <f t="shared" si="2"/>
        <v>100.59314741996897</v>
      </c>
    </row>
    <row r="11" spans="1:8" ht="16.5">
      <c r="A11" s="209" t="s">
        <v>1</v>
      </c>
      <c r="B11" s="210"/>
      <c r="C11" s="7"/>
      <c r="D11" s="7"/>
      <c r="E11" s="7"/>
      <c r="F11" s="152"/>
      <c r="G11" s="152"/>
      <c r="H11" s="152"/>
    </row>
    <row r="12" spans="1:8" ht="18.75" customHeight="1">
      <c r="A12" s="2" t="s">
        <v>46</v>
      </c>
      <c r="B12" s="164">
        <v>1444.2584711049601</v>
      </c>
      <c r="C12" s="165">
        <v>1652.30559569002</v>
      </c>
      <c r="D12" s="165">
        <v>1946.57736167555</v>
      </c>
      <c r="E12" s="165">
        <v>1963.6758845541699</v>
      </c>
      <c r="F12" s="166">
        <f t="shared" si="0"/>
        <v>135.96429751606848</v>
      </c>
      <c r="G12" s="166">
        <f t="shared" si="1"/>
        <v>118.84459446704945</v>
      </c>
      <c r="H12" s="166">
        <f t="shared" si="2"/>
        <v>100.87838907485813</v>
      </c>
    </row>
    <row r="13" spans="1:8" ht="33.75" customHeight="1">
      <c r="A13" s="2" t="s">
        <v>49</v>
      </c>
      <c r="B13" s="58">
        <v>0.88549</v>
      </c>
      <c r="C13" s="148">
        <v>7.9383600000000003</v>
      </c>
      <c r="D13" s="148">
        <v>9.6807289999999995</v>
      </c>
      <c r="E13" s="148">
        <v>9.1009790000000006</v>
      </c>
      <c r="F13" s="167">
        <f t="shared" si="0"/>
        <v>1027.7901500863929</v>
      </c>
      <c r="G13" s="167">
        <f t="shared" si="1"/>
        <v>114.64558170705284</v>
      </c>
      <c r="H13" s="167">
        <f t="shared" si="2"/>
        <v>94.011298116081974</v>
      </c>
    </row>
    <row r="14" spans="1:8" ht="34.5" customHeight="1">
      <c r="A14" s="2" t="s">
        <v>48</v>
      </c>
      <c r="B14" s="58">
        <v>439.83506424000001</v>
      </c>
      <c r="C14" s="148">
        <v>424.95737588999998</v>
      </c>
      <c r="D14" s="148">
        <v>409.03884269999998</v>
      </c>
      <c r="E14" s="148">
        <v>406.00930482000001</v>
      </c>
      <c r="F14" s="167">
        <f t="shared" si="0"/>
        <v>92.309444569079957</v>
      </c>
      <c r="G14" s="167">
        <f t="shared" si="1"/>
        <v>95.541183152706438</v>
      </c>
      <c r="H14" s="167">
        <f t="shared" si="2"/>
        <v>99.259352031214817</v>
      </c>
    </row>
    <row r="15" spans="1:8" ht="16.5">
      <c r="A15" s="2" t="s">
        <v>47</v>
      </c>
      <c r="B15" s="4" t="s">
        <v>24</v>
      </c>
      <c r="C15" s="131">
        <v>0.72734200000000004</v>
      </c>
      <c r="D15" s="131">
        <v>3.5803405666849999</v>
      </c>
      <c r="E15" s="131">
        <v>4.1420400006887999</v>
      </c>
      <c r="F15" s="131" t="s">
        <v>24</v>
      </c>
      <c r="G15" s="131" t="s">
        <v>24</v>
      </c>
      <c r="H15" s="168">
        <f t="shared" si="2"/>
        <v>115.68843587759228</v>
      </c>
    </row>
    <row r="16" spans="1:8" ht="16.5">
      <c r="A16" s="35" t="s">
        <v>6</v>
      </c>
      <c r="B16" s="40">
        <v>383.74759282027998</v>
      </c>
      <c r="C16" s="40">
        <v>565.47547574999999</v>
      </c>
      <c r="D16" s="40">
        <v>619.50235350000003</v>
      </c>
      <c r="E16" s="40">
        <v>630.04399049999995</v>
      </c>
      <c r="F16" s="169">
        <f t="shared" si="0"/>
        <v>164.18187430691393</v>
      </c>
      <c r="G16" s="169">
        <f t="shared" si="1"/>
        <v>111.41844651430048</v>
      </c>
      <c r="H16" s="169">
        <f t="shared" si="2"/>
        <v>101.70162985506718</v>
      </c>
    </row>
    <row r="17" spans="1:8" ht="16.5">
      <c r="A17" s="116" t="s">
        <v>1</v>
      </c>
      <c r="B17" s="117"/>
      <c r="C17" s="117"/>
      <c r="D17" s="122"/>
      <c r="E17" s="121"/>
      <c r="F17" s="125"/>
      <c r="G17" s="125"/>
      <c r="H17" s="128"/>
    </row>
    <row r="18" spans="1:8" ht="21" customHeight="1">
      <c r="A18" s="2" t="s">
        <v>46</v>
      </c>
      <c r="B18" s="6" t="s">
        <v>24</v>
      </c>
      <c r="C18" s="6" t="s">
        <v>24</v>
      </c>
      <c r="D18" s="6" t="s">
        <v>24</v>
      </c>
      <c r="E18" s="6" t="s">
        <v>24</v>
      </c>
      <c r="F18" s="6" t="s">
        <v>24</v>
      </c>
      <c r="G18" s="6" t="s">
        <v>24</v>
      </c>
      <c r="H18" s="6" t="s">
        <v>24</v>
      </c>
    </row>
    <row r="19" spans="1:8" ht="36.75" customHeight="1">
      <c r="A19" s="2" t="s">
        <v>45</v>
      </c>
      <c r="B19" s="58">
        <v>337.98420499999997</v>
      </c>
      <c r="C19" s="58">
        <v>503.14092299999999</v>
      </c>
      <c r="D19" s="58">
        <v>540.049441</v>
      </c>
      <c r="E19" s="58">
        <v>551.63819100000001</v>
      </c>
      <c r="F19" s="167">
        <f t="shared" si="0"/>
        <v>163.21419250938075</v>
      </c>
      <c r="G19" s="167">
        <f t="shared" si="1"/>
        <v>109.63890349265031</v>
      </c>
      <c r="H19" s="58">
        <f>E19/D19*100</f>
        <v>102.14586834467254</v>
      </c>
    </row>
    <row r="20" spans="1:8" ht="36" customHeight="1">
      <c r="A20" s="2" t="s">
        <v>43</v>
      </c>
      <c r="B20" s="58">
        <v>41.459586479999999</v>
      </c>
      <c r="C20" s="58">
        <v>58.94746275</v>
      </c>
      <c r="D20" s="58">
        <v>75.096012500000001</v>
      </c>
      <c r="E20" s="58">
        <v>74.085259500000006</v>
      </c>
      <c r="F20" s="167">
        <f>E20/B20*100</f>
        <v>178.69271208418479</v>
      </c>
      <c r="G20" s="167">
        <f>E20/C20*100</f>
        <v>125.6801498212067</v>
      </c>
      <c r="H20" s="58">
        <f>E20/D20*100</f>
        <v>98.654052370623546</v>
      </c>
    </row>
    <row r="21" spans="1:8" ht="16.5">
      <c r="A21" s="2" t="s">
        <v>44</v>
      </c>
      <c r="B21" s="58">
        <v>4.3038013402799997</v>
      </c>
      <c r="C21" s="58">
        <v>3.3870900000000002</v>
      </c>
      <c r="D21" s="58">
        <v>4.3569000000000004</v>
      </c>
      <c r="E21" s="58">
        <v>4.3205400000000003</v>
      </c>
      <c r="F21" s="170">
        <f t="shared" si="0"/>
        <v>100.38892733182966</v>
      </c>
      <c r="G21" s="170">
        <f t="shared" si="1"/>
        <v>127.55905511811024</v>
      </c>
      <c r="H21" s="58">
        <f t="shared" ref="H21:H22" si="3">E21/D21*100</f>
        <v>99.165461681470774</v>
      </c>
    </row>
    <row r="22" spans="1:8" ht="19.5" customHeight="1">
      <c r="A22" s="35" t="s">
        <v>29</v>
      </c>
      <c r="B22" s="40">
        <v>234.798448099328</v>
      </c>
      <c r="C22" s="40">
        <v>250.597398855156</v>
      </c>
      <c r="D22" s="40">
        <v>291.206298874943</v>
      </c>
      <c r="E22" s="40">
        <v>293.27025861495201</v>
      </c>
      <c r="F22" s="169">
        <f t="shared" si="0"/>
        <v>124.90297997663443</v>
      </c>
      <c r="G22" s="169">
        <f t="shared" si="1"/>
        <v>117.02845279110845</v>
      </c>
      <c r="H22" s="40">
        <f t="shared" si="3"/>
        <v>100.70876205218877</v>
      </c>
    </row>
    <row r="23" spans="1:8" ht="16.5">
      <c r="A23" s="116" t="s">
        <v>31</v>
      </c>
      <c r="B23" s="117"/>
      <c r="C23" s="117"/>
      <c r="D23" s="122"/>
      <c r="E23" s="121"/>
      <c r="F23" s="152"/>
      <c r="G23" s="152"/>
      <c r="H23" s="156"/>
    </row>
    <row r="24" spans="1:8" ht="31.5" customHeight="1" thickBot="1">
      <c r="A24" s="126" t="s">
        <v>42</v>
      </c>
      <c r="B24" s="167">
        <v>71.115342535123602</v>
      </c>
      <c r="C24" s="167">
        <v>71.902773699518605</v>
      </c>
      <c r="D24" s="167">
        <v>76.718072817119307</v>
      </c>
      <c r="E24" s="167">
        <v>77.171124861759594</v>
      </c>
      <c r="F24" s="167">
        <f t="shared" si="0"/>
        <v>108.5154371908496</v>
      </c>
      <c r="G24" s="167">
        <f t="shared" si="1"/>
        <v>107.32704858404685</v>
      </c>
      <c r="H24" s="167">
        <f>E24/D24*100</f>
        <v>100.59054148260512</v>
      </c>
    </row>
    <row r="25" spans="1:8" ht="28.5" customHeight="1">
      <c r="A25" s="211" t="s">
        <v>4</v>
      </c>
      <c r="B25" s="211"/>
      <c r="C25" s="211"/>
      <c r="D25" s="211"/>
      <c r="E25" s="211"/>
      <c r="F25" s="211"/>
      <c r="G25" s="211"/>
      <c r="H25" s="211"/>
    </row>
    <row r="27" spans="1:8" ht="16.5">
      <c r="A27" s="124" t="s">
        <v>55</v>
      </c>
      <c r="B27" s="124"/>
      <c r="C27" s="44"/>
      <c r="F27" s="44"/>
      <c r="G27" s="44"/>
      <c r="H27" s="44"/>
    </row>
    <row r="28" spans="1:8" ht="86.25" customHeight="1">
      <c r="A28" s="2"/>
      <c r="B28" s="11" t="s">
        <v>142</v>
      </c>
      <c r="C28" s="11" t="s">
        <v>138</v>
      </c>
      <c r="D28" s="11" t="s">
        <v>117</v>
      </c>
      <c r="E28" s="11" t="s">
        <v>125</v>
      </c>
      <c r="F28" s="33" t="s">
        <v>145</v>
      </c>
      <c r="G28" s="33" t="s">
        <v>146</v>
      </c>
      <c r="H28" s="33" t="s">
        <v>147</v>
      </c>
    </row>
    <row r="29" spans="1:8" ht="16.5">
      <c r="A29" s="27" t="s">
        <v>28</v>
      </c>
      <c r="B29" s="158">
        <v>5202.0219138606299</v>
      </c>
      <c r="C29" s="159">
        <v>5997.4818612130803</v>
      </c>
      <c r="D29" s="159">
        <v>6774.60426836848</v>
      </c>
      <c r="E29" s="159">
        <v>6887.1442267420898</v>
      </c>
      <c r="F29" s="159">
        <f>E29/B29*100</f>
        <v>132.39360273341993</v>
      </c>
      <c r="G29" s="159">
        <f>E29/C29*100</f>
        <v>114.83393174196381</v>
      </c>
      <c r="H29" s="159">
        <f>E29/D29*100</f>
        <v>101.66120342850245</v>
      </c>
    </row>
    <row r="30" spans="1:8" s="41" customFormat="1" ht="16.5">
      <c r="A30" s="119" t="s">
        <v>27</v>
      </c>
      <c r="B30" s="28"/>
      <c r="C30" s="28"/>
      <c r="D30" s="28"/>
      <c r="E30" s="28"/>
      <c r="F30" s="154"/>
      <c r="G30" s="154"/>
      <c r="H30" s="154"/>
    </row>
    <row r="31" spans="1:8" ht="16.5">
      <c r="A31" s="12" t="s">
        <v>0</v>
      </c>
      <c r="B31" s="173">
        <v>4714.1391725163903</v>
      </c>
      <c r="C31" s="160">
        <v>5479.5795344410999</v>
      </c>
      <c r="D31" s="160">
        <v>6173.0626470610196</v>
      </c>
      <c r="E31" s="160">
        <v>6276.2408842120904</v>
      </c>
      <c r="F31" s="160">
        <f t="shared" ref="F31:F39" si="4">E31/B31*100</f>
        <v>133.13652089023617</v>
      </c>
      <c r="G31" s="160">
        <f t="shared" ref="G31:G39" si="5">E31/C31*100</f>
        <v>114.53873138921867</v>
      </c>
      <c r="H31" s="160">
        <f>E31/D31*100</f>
        <v>101.67142702172629</v>
      </c>
    </row>
    <row r="32" spans="1:8" s="37" customFormat="1" ht="16.5">
      <c r="A32" s="38" t="s">
        <v>52</v>
      </c>
      <c r="B32" s="39"/>
      <c r="C32" s="39"/>
      <c r="D32" s="39"/>
      <c r="E32" s="39"/>
      <c r="F32" s="154"/>
      <c r="G32" s="154"/>
      <c r="H32" s="154"/>
    </row>
    <row r="33" spans="1:8" ht="16.5">
      <c r="A33" s="35" t="s">
        <v>2</v>
      </c>
      <c r="B33" s="174">
        <v>3916.7581460020701</v>
      </c>
      <c r="C33" s="174">
        <v>4310.9278805877902</v>
      </c>
      <c r="D33" s="174">
        <v>4893.3635074204503</v>
      </c>
      <c r="E33" s="174">
        <v>4963.81329078627</v>
      </c>
      <c r="F33" s="174">
        <f t="shared" si="4"/>
        <v>126.73269846525895</v>
      </c>
      <c r="G33" s="174">
        <f t="shared" si="5"/>
        <v>115.14489289274445</v>
      </c>
      <c r="H33" s="174">
        <f>E33/D33*100</f>
        <v>101.43970059160714</v>
      </c>
    </row>
    <row r="34" spans="1:8" s="37" customFormat="1" ht="16.5">
      <c r="A34" s="38" t="s">
        <v>52</v>
      </c>
      <c r="B34" s="39"/>
      <c r="C34" s="39"/>
      <c r="D34" s="39"/>
      <c r="E34" s="172"/>
      <c r="F34" s="154"/>
      <c r="G34" s="154"/>
      <c r="H34" s="154"/>
    </row>
    <row r="35" spans="1:8" ht="17.25" customHeight="1">
      <c r="A35" s="34" t="s">
        <v>46</v>
      </c>
      <c r="B35" s="175">
        <v>3000.9942050138302</v>
      </c>
      <c r="C35" s="176">
        <v>3414.7717273028202</v>
      </c>
      <c r="D35" s="176">
        <v>4021.0232631182698</v>
      </c>
      <c r="E35" s="176">
        <v>4090.4801161400001</v>
      </c>
      <c r="F35" s="166">
        <f t="shared" si="4"/>
        <v>136.30416577632641</v>
      </c>
      <c r="G35" s="166">
        <f>E35/C35*100</f>
        <v>119.78780553424848</v>
      </c>
      <c r="H35" s="166">
        <f>E35/D35*100</f>
        <v>101.72734273036428</v>
      </c>
    </row>
    <row r="36" spans="1:8" ht="32.25" customHeight="1">
      <c r="A36" s="34" t="s">
        <v>49</v>
      </c>
      <c r="B36" s="131">
        <v>1.8399409882392099</v>
      </c>
      <c r="C36" s="177">
        <v>16.4059768119536</v>
      </c>
      <c r="D36" s="177">
        <v>19.997374509398899</v>
      </c>
      <c r="E36" s="177">
        <v>18.958003166270899</v>
      </c>
      <c r="F36" s="197">
        <f t="shared" si="4"/>
        <v>1030.3593043173282</v>
      </c>
      <c r="G36" s="143">
        <f t="shared" si="5"/>
        <v>115.5554672761567</v>
      </c>
      <c r="H36" s="143">
        <f t="shared" ref="H36:H39" si="6">E36/D36*100</f>
        <v>94.802460979867689</v>
      </c>
    </row>
    <row r="37" spans="1:8" ht="30.75" customHeight="1">
      <c r="A37" s="34" t="s">
        <v>50</v>
      </c>
      <c r="B37" s="29">
        <v>913.92399999999998</v>
      </c>
      <c r="C37" s="178">
        <v>878.24699999999996</v>
      </c>
      <c r="D37" s="178">
        <v>844.947</v>
      </c>
      <c r="E37" s="178">
        <v>845.74699999999996</v>
      </c>
      <c r="F37" s="155">
        <f t="shared" si="4"/>
        <v>92.540189337406602</v>
      </c>
      <c r="G37" s="155">
        <f t="shared" si="5"/>
        <v>96.299446511061234</v>
      </c>
      <c r="H37" s="155">
        <f t="shared" si="6"/>
        <v>100.09468049475292</v>
      </c>
    </row>
    <row r="38" spans="1:8" ht="16.5">
      <c r="A38" s="34" t="s">
        <v>47</v>
      </c>
      <c r="B38" s="164" t="s">
        <v>24</v>
      </c>
      <c r="C38" s="179">
        <v>1.50317647301961</v>
      </c>
      <c r="D38" s="180">
        <v>7.3958697927804202</v>
      </c>
      <c r="E38" s="180">
        <v>8.6281714800000007</v>
      </c>
      <c r="F38" s="166" t="s">
        <v>24</v>
      </c>
      <c r="G38" s="166" t="s">
        <v>24</v>
      </c>
      <c r="H38" s="166">
        <f t="shared" si="6"/>
        <v>116.66202518089905</v>
      </c>
    </row>
    <row r="39" spans="1:8" ht="16.5">
      <c r="A39" s="35" t="s">
        <v>6</v>
      </c>
      <c r="B39" s="181">
        <v>797.381026514317</v>
      </c>
      <c r="C39" s="181">
        <v>1168.6516538533101</v>
      </c>
      <c r="D39" s="181">
        <v>1279.6991396405699</v>
      </c>
      <c r="E39" s="181">
        <v>1312.4275934258201</v>
      </c>
      <c r="F39" s="163">
        <f t="shared" si="4"/>
        <v>164.59227769225774</v>
      </c>
      <c r="G39" s="163">
        <f t="shared" si="5"/>
        <v>112.30271989933425</v>
      </c>
      <c r="H39" s="163">
        <f t="shared" si="6"/>
        <v>102.55751158779731</v>
      </c>
    </row>
    <row r="40" spans="1:8" ht="16.5">
      <c r="A40" s="206" t="s">
        <v>3</v>
      </c>
      <c r="B40" s="206"/>
      <c r="C40" s="206"/>
      <c r="D40" s="206"/>
      <c r="E40" s="206"/>
      <c r="F40" s="206"/>
      <c r="G40" s="206"/>
      <c r="H40" s="207"/>
    </row>
    <row r="41" spans="1:8" ht="18" customHeight="1">
      <c r="A41" s="34" t="s">
        <v>46</v>
      </c>
      <c r="B41" s="4" t="s">
        <v>24</v>
      </c>
      <c r="C41" s="4" t="s">
        <v>24</v>
      </c>
      <c r="D41" s="4" t="s">
        <v>24</v>
      </c>
      <c r="E41" s="4" t="s">
        <v>24</v>
      </c>
      <c r="F41" s="6" t="s">
        <v>24</v>
      </c>
      <c r="G41" s="6" t="s">
        <v>24</v>
      </c>
      <c r="H41" s="6" t="s">
        <v>24</v>
      </c>
    </row>
    <row r="42" spans="1:8" ht="32.25" customHeight="1">
      <c r="A42" s="34" t="s">
        <v>45</v>
      </c>
      <c r="B42" s="131">
        <v>702.290248514317</v>
      </c>
      <c r="C42" s="149">
        <v>1039.8266538533101</v>
      </c>
      <c r="D42" s="149">
        <v>1115.5741396405699</v>
      </c>
      <c r="E42" s="149">
        <v>1149.10259342582</v>
      </c>
      <c r="F42" s="144">
        <f>E42/B42*100</f>
        <v>163.62217699259344</v>
      </c>
      <c r="G42" s="182">
        <f>E42/C42*100</f>
        <v>110.50905352036932</v>
      </c>
      <c r="H42" s="144">
        <f>E42/D42*100</f>
        <v>103.00548861737265</v>
      </c>
    </row>
    <row r="43" spans="1:8" ht="33" customHeight="1">
      <c r="A43" s="46" t="s">
        <v>43</v>
      </c>
      <c r="B43" s="58">
        <v>86.147999999999996</v>
      </c>
      <c r="C43" s="145">
        <v>121.825</v>
      </c>
      <c r="D43" s="145">
        <v>155.125</v>
      </c>
      <c r="E43" s="145">
        <v>154.32499999999999</v>
      </c>
      <c r="F43" s="145">
        <f>E43/B43*100</f>
        <v>179.13938802990202</v>
      </c>
      <c r="G43" s="148">
        <f t="shared" ref="G43:G45" si="7">E43/C43*100</f>
        <v>126.67761132772419</v>
      </c>
      <c r="H43" s="145">
        <f t="shared" ref="H43:H44" si="8">E43/D43*100</f>
        <v>99.484286865431088</v>
      </c>
    </row>
    <row r="44" spans="1:8" ht="16.5">
      <c r="A44" s="34" t="s">
        <v>44</v>
      </c>
      <c r="B44" s="58">
        <v>8.9427780000000006</v>
      </c>
      <c r="C44" s="145">
        <v>7</v>
      </c>
      <c r="D44" s="145">
        <v>9</v>
      </c>
      <c r="E44" s="145">
        <v>9</v>
      </c>
      <c r="F44" s="145">
        <f>E44/B44*100</f>
        <v>100.63986828254039</v>
      </c>
      <c r="G44" s="148">
        <f t="shared" si="7"/>
        <v>128.57142857142858</v>
      </c>
      <c r="H44" s="145">
        <f t="shared" si="8"/>
        <v>100</v>
      </c>
    </row>
    <row r="45" spans="1:8" ht="21.75" customHeight="1">
      <c r="A45" s="35" t="s">
        <v>26</v>
      </c>
      <c r="B45" s="40">
        <v>487.88274134423898</v>
      </c>
      <c r="C45" s="40">
        <v>517.90232677197605</v>
      </c>
      <c r="D45" s="40">
        <v>601.54162130746397</v>
      </c>
      <c r="E45" s="40">
        <v>610.90334253000003</v>
      </c>
      <c r="F45" s="183">
        <f>E45/B45*100</f>
        <v>125.21519839927284</v>
      </c>
      <c r="G45" s="184">
        <f t="shared" si="7"/>
        <v>117.95725003548223</v>
      </c>
      <c r="H45" s="183">
        <f>E45/D45*100</f>
        <v>101.55628819202704</v>
      </c>
    </row>
    <row r="46" spans="1:8" ht="16.5">
      <c r="A46" s="206" t="s">
        <v>53</v>
      </c>
      <c r="B46" s="206"/>
      <c r="C46" s="206"/>
      <c r="D46" s="206"/>
      <c r="E46" s="206"/>
      <c r="F46" s="206"/>
      <c r="G46" s="206"/>
      <c r="H46" s="207"/>
    </row>
    <row r="47" spans="1:8" ht="33" customHeight="1">
      <c r="A47" s="34" t="s">
        <v>42</v>
      </c>
      <c r="B47" s="58">
        <v>147.76906980659899</v>
      </c>
      <c r="C47" s="145">
        <v>148.59936284439701</v>
      </c>
      <c r="D47" s="145">
        <v>158.475672003965</v>
      </c>
      <c r="E47" s="145">
        <v>160.75308265999999</v>
      </c>
      <c r="F47" s="145">
        <f>E47/B47*100</f>
        <v>108.78669187699059</v>
      </c>
      <c r="G47" s="145">
        <f>E47/C47*100</f>
        <v>108.17885055693645</v>
      </c>
      <c r="H47" s="145">
        <f>E47/D47*100</f>
        <v>101.43707272367837</v>
      </c>
    </row>
    <row r="48" spans="1:8" ht="32.25" customHeight="1">
      <c r="A48" s="35" t="s">
        <v>25</v>
      </c>
      <c r="B48" s="40">
        <v>481.26</v>
      </c>
      <c r="C48" s="40">
        <v>483.87</v>
      </c>
      <c r="D48" s="40">
        <v>484.1</v>
      </c>
      <c r="E48" s="40">
        <v>480.06</v>
      </c>
      <c r="F48" s="183">
        <f>E48/B48*100</f>
        <v>99.750654531853883</v>
      </c>
      <c r="G48" s="183">
        <f>E48/C48*100</f>
        <v>99.212598425196859</v>
      </c>
      <c r="H48" s="183">
        <f>E48/D48*100</f>
        <v>99.165461681470774</v>
      </c>
    </row>
    <row r="49" spans="1:8" ht="25.5" customHeight="1">
      <c r="A49" s="204" t="s">
        <v>88</v>
      </c>
      <c r="B49" s="204"/>
      <c r="C49" s="204"/>
      <c r="D49" s="204"/>
      <c r="E49" s="204"/>
      <c r="F49" s="204"/>
      <c r="G49" s="204"/>
      <c r="H49" s="204"/>
    </row>
    <row r="50" spans="1:8">
      <c r="A50" s="1"/>
    </row>
  </sheetData>
  <mergeCells count="7">
    <mergeCell ref="A49:H49"/>
    <mergeCell ref="A2:H2"/>
    <mergeCell ref="A40:H40"/>
    <mergeCell ref="A46:H46"/>
    <mergeCell ref="A4:B4"/>
    <mergeCell ref="A11:B11"/>
    <mergeCell ref="A25:H25"/>
  </mergeCells>
  <pageMargins left="0.27083333333333331" right="6.25E-2" top="8.3333333333333329E-2" bottom="7.2916666666666671E-2" header="0.2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view="pageLayout" topLeftCell="A3" workbookViewId="0">
      <selection activeCell="H3" sqref="H3"/>
    </sheetView>
  </sheetViews>
  <sheetFormatPr defaultRowHeight="15"/>
  <cols>
    <col min="1" max="1" width="77.5703125" customWidth="1"/>
    <col min="2" max="2" width="9.42578125" style="25" customWidth="1"/>
    <col min="3" max="3" width="8.7109375" style="44" customWidth="1"/>
    <col min="4" max="4" width="8.85546875" style="25" customWidth="1"/>
    <col min="5" max="5" width="9.28515625" style="44" customWidth="1"/>
    <col min="6" max="6" width="9.7109375" customWidth="1"/>
    <col min="7" max="7" width="9.28515625" customWidth="1"/>
  </cols>
  <sheetData>
    <row r="1" spans="1:8" ht="19.5" customHeight="1">
      <c r="A1" s="23" t="s">
        <v>35</v>
      </c>
      <c r="B1" s="23"/>
      <c r="C1" s="23"/>
      <c r="D1" s="23"/>
      <c r="E1" s="23"/>
      <c r="F1" s="23"/>
      <c r="G1" s="23"/>
      <c r="H1" s="23"/>
    </row>
    <row r="2" spans="1:8" ht="35.25" customHeight="1">
      <c r="A2" s="212" t="s">
        <v>126</v>
      </c>
      <c r="B2" s="212"/>
      <c r="C2" s="212"/>
      <c r="D2" s="212"/>
      <c r="E2" s="212"/>
      <c r="F2" s="212"/>
      <c r="G2" s="212"/>
      <c r="H2" s="212"/>
    </row>
    <row r="3" spans="1:8" ht="134.25" customHeight="1">
      <c r="A3" s="2"/>
      <c r="B3" s="11" t="s">
        <v>142</v>
      </c>
      <c r="C3" s="11" t="s">
        <v>138</v>
      </c>
      <c r="D3" s="11" t="s">
        <v>117</v>
      </c>
      <c r="E3" s="11" t="s">
        <v>125</v>
      </c>
      <c r="F3" s="32" t="s">
        <v>148</v>
      </c>
      <c r="G3" s="32" t="s">
        <v>149</v>
      </c>
      <c r="H3" s="32" t="s">
        <v>150</v>
      </c>
    </row>
    <row r="4" spans="1:8" ht="20.25" customHeight="1">
      <c r="A4" s="19" t="s">
        <v>5</v>
      </c>
      <c r="B4" s="18">
        <v>2268.7266181652399</v>
      </c>
      <c r="C4" s="18">
        <v>2651.4041493300201</v>
      </c>
      <c r="D4" s="18">
        <v>2988.3796274422398</v>
      </c>
      <c r="E4" s="18">
        <v>3012.9721988748602</v>
      </c>
      <c r="F4" s="18"/>
      <c r="G4" s="146"/>
      <c r="H4" s="147"/>
    </row>
    <row r="5" spans="1:8" ht="16.5">
      <c r="A5" s="20" t="s">
        <v>32</v>
      </c>
      <c r="B5" s="14">
        <v>100</v>
      </c>
      <c r="C5" s="14">
        <v>100</v>
      </c>
      <c r="D5" s="14">
        <v>100</v>
      </c>
      <c r="E5" s="14">
        <v>100</v>
      </c>
      <c r="F5" s="14"/>
      <c r="G5" s="14"/>
      <c r="H5" s="14"/>
    </row>
    <row r="6" spans="1:8" ht="16.5">
      <c r="A6" s="3" t="s">
        <v>1</v>
      </c>
      <c r="B6" s="5"/>
      <c r="C6" s="5"/>
      <c r="D6" s="5"/>
      <c r="E6" s="5"/>
      <c r="F6" s="5"/>
      <c r="G6" s="148"/>
      <c r="H6" s="58"/>
    </row>
    <row r="7" spans="1:8" ht="16.5">
      <c r="A7" s="3" t="s">
        <v>6</v>
      </c>
      <c r="B7" s="58">
        <v>16.914668772680201</v>
      </c>
      <c r="C7" s="58">
        <v>21.327396500186101</v>
      </c>
      <c r="D7" s="58">
        <v>20.730376683441399</v>
      </c>
      <c r="E7" s="58">
        <v>20.911045602587301</v>
      </c>
      <c r="F7" s="149">
        <f>E7-B7</f>
        <v>3.9963768299070992</v>
      </c>
      <c r="G7" s="148">
        <f>E7-C7</f>
        <v>-0.41635089759880017</v>
      </c>
      <c r="H7" s="58">
        <f>E7-D7</f>
        <v>0.18066891914590144</v>
      </c>
    </row>
    <row r="8" spans="1:8" ht="16.5">
      <c r="A8" s="3" t="s">
        <v>2</v>
      </c>
      <c r="B8" s="58">
        <v>83.085331227319799</v>
      </c>
      <c r="C8" s="58">
        <v>78.672603499813903</v>
      </c>
      <c r="D8" s="58">
        <v>79.269623316558594</v>
      </c>
      <c r="E8" s="58">
        <v>79.088954397412706</v>
      </c>
      <c r="F8" s="150">
        <f>E8-B8</f>
        <v>-3.9963768299070921</v>
      </c>
      <c r="G8" s="148">
        <f>E8-C8</f>
        <v>0.41635089759880373</v>
      </c>
      <c r="H8" s="58">
        <f t="shared" ref="H8:H15" si="0">E8-D8</f>
        <v>-0.18066891914588723</v>
      </c>
    </row>
    <row r="9" spans="1:8" ht="16.5">
      <c r="A9" s="20" t="s">
        <v>33</v>
      </c>
      <c r="B9" s="14">
        <v>100</v>
      </c>
      <c r="C9" s="14">
        <v>100</v>
      </c>
      <c r="D9" s="14">
        <v>100</v>
      </c>
      <c r="E9" s="14">
        <v>100</v>
      </c>
      <c r="F9" s="14"/>
      <c r="G9" s="14"/>
      <c r="H9" s="14"/>
    </row>
    <row r="10" spans="1:8" ht="16.5">
      <c r="A10" s="3" t="s">
        <v>1</v>
      </c>
      <c r="B10" s="5"/>
      <c r="C10" s="5"/>
      <c r="D10" s="5"/>
      <c r="E10" s="5"/>
      <c r="F10" s="5"/>
      <c r="G10" s="148"/>
      <c r="H10" s="58"/>
    </row>
    <row r="11" spans="1:8" ht="16.5">
      <c r="A11" s="3" t="s">
        <v>7</v>
      </c>
      <c r="B11" s="30">
        <v>63.659431662725297</v>
      </c>
      <c r="C11" s="30">
        <v>62.3181341896722</v>
      </c>
      <c r="D11" s="30">
        <v>65.138222192393798</v>
      </c>
      <c r="E11" s="30">
        <v>65.174045923406496</v>
      </c>
      <c r="F11" s="145">
        <f>E11-B11</f>
        <v>1.5146142606811992</v>
      </c>
      <c r="G11" s="148">
        <f>E11-C11</f>
        <v>2.8559117337342954</v>
      </c>
      <c r="H11" s="58">
        <f t="shared" si="0"/>
        <v>3.582373101269809E-2</v>
      </c>
    </row>
    <row r="12" spans="1:8" ht="16.5">
      <c r="A12" s="3" t="s">
        <v>8</v>
      </c>
      <c r="B12" s="5" t="s">
        <v>24</v>
      </c>
      <c r="C12" s="5" t="s">
        <v>24</v>
      </c>
      <c r="D12" s="5" t="s">
        <v>24</v>
      </c>
      <c r="E12" s="5" t="s">
        <v>24</v>
      </c>
      <c r="F12" s="5" t="s">
        <v>24</v>
      </c>
      <c r="G12" s="5" t="s">
        <v>24</v>
      </c>
      <c r="H12" s="5" t="s">
        <v>24</v>
      </c>
    </row>
    <row r="13" spans="1:8" ht="16.5">
      <c r="A13" s="3" t="s">
        <v>9</v>
      </c>
      <c r="B13" s="30">
        <v>14.9365592260759</v>
      </c>
      <c r="C13" s="30">
        <v>19.275797057538199</v>
      </c>
      <c r="D13" s="30">
        <v>18.395593550158001</v>
      </c>
      <c r="E13" s="30">
        <v>18.610831198820801</v>
      </c>
      <c r="F13" s="145">
        <f>E13-B13</f>
        <v>3.6742719727449007</v>
      </c>
      <c r="G13" s="148">
        <f t="shared" ref="G13:G16" si="1">E13-C13</f>
        <v>-0.66496585871739811</v>
      </c>
      <c r="H13" s="58">
        <f t="shared" si="0"/>
        <v>0.21523764866280004</v>
      </c>
    </row>
    <row r="14" spans="1:8" ht="16.5">
      <c r="A14" s="3" t="s">
        <v>10</v>
      </c>
      <c r="B14" s="30">
        <v>21.214307923500801</v>
      </c>
      <c r="C14" s="30">
        <v>18.2508893924104</v>
      </c>
      <c r="D14" s="30">
        <v>16.200580768059002</v>
      </c>
      <c r="E14" s="30">
        <v>15.934251384705201</v>
      </c>
      <c r="F14" s="145">
        <f>E14-B14</f>
        <v>-5.2800565387956002</v>
      </c>
      <c r="G14" s="148">
        <f t="shared" si="1"/>
        <v>-2.3166380077051993</v>
      </c>
      <c r="H14" s="58">
        <f t="shared" si="0"/>
        <v>-0.26632938335380096</v>
      </c>
    </row>
    <row r="15" spans="1:8" ht="16.5">
      <c r="A15" s="3" t="s">
        <v>11</v>
      </c>
      <c r="B15" s="131">
        <v>0</v>
      </c>
      <c r="C15" s="131">
        <v>2.7432332418420299E-2</v>
      </c>
      <c r="D15" s="131">
        <v>0.11980875969728901</v>
      </c>
      <c r="E15" s="131">
        <v>0.137473555256686</v>
      </c>
      <c r="F15" s="144">
        <f>E15-B15</f>
        <v>0.137473555256686</v>
      </c>
      <c r="G15" s="148">
        <f t="shared" si="1"/>
        <v>0.1100412228382657</v>
      </c>
      <c r="H15" s="58">
        <f t="shared" si="0"/>
        <v>1.7664795559396998E-2</v>
      </c>
    </row>
    <row r="16" spans="1:8" ht="16.5">
      <c r="A16" s="3" t="s">
        <v>12</v>
      </c>
      <c r="B16" s="30">
        <v>0.18970118769799399</v>
      </c>
      <c r="C16" s="30">
        <v>0.12774702796085899</v>
      </c>
      <c r="D16" s="30">
        <v>0.145794729691993</v>
      </c>
      <c r="E16" s="30">
        <v>0.14339793781082499</v>
      </c>
      <c r="F16" s="42">
        <f t="shared" ref="F16" si="2">E16-B16</f>
        <v>-4.6303249887168996E-2</v>
      </c>
      <c r="G16" s="148">
        <f t="shared" si="1"/>
        <v>1.5650909849966005E-2</v>
      </c>
      <c r="H16" s="58">
        <f>E16-D16</f>
        <v>-2.3967918811680089E-3</v>
      </c>
    </row>
    <row r="17" spans="1:8" ht="19.5" customHeight="1">
      <c r="A17" s="12" t="s">
        <v>13</v>
      </c>
      <c r="B17" s="13">
        <v>100</v>
      </c>
      <c r="C17" s="13">
        <v>100</v>
      </c>
      <c r="D17" s="14">
        <v>100</v>
      </c>
      <c r="E17" s="13">
        <v>100</v>
      </c>
      <c r="F17" s="13"/>
      <c r="G17" s="13"/>
      <c r="H17" s="13"/>
    </row>
    <row r="18" spans="1:8" ht="16.5">
      <c r="A18" s="3" t="s">
        <v>1</v>
      </c>
      <c r="B18" s="5"/>
      <c r="C18" s="5"/>
      <c r="D18" s="5"/>
      <c r="E18" s="5"/>
      <c r="F18" s="5"/>
      <c r="G18" s="148"/>
      <c r="H18" s="58"/>
    </row>
    <row r="19" spans="1:8" ht="16.5">
      <c r="A19" s="3" t="s">
        <v>14</v>
      </c>
      <c r="B19" s="58">
        <v>2.3906324616521002</v>
      </c>
      <c r="C19" s="58">
        <v>1.71818883256676</v>
      </c>
      <c r="D19" s="58">
        <v>0.78203287110488395</v>
      </c>
      <c r="E19" s="58">
        <v>0.77704125543351599</v>
      </c>
      <c r="F19" s="145">
        <f>E19-B19</f>
        <v>-1.6135912062185842</v>
      </c>
      <c r="G19" s="148">
        <f>E19-C19</f>
        <v>-0.94114757713324404</v>
      </c>
      <c r="H19" s="58">
        <f t="shared" ref="H19:H25" si="3">E19-D19</f>
        <v>-4.991615671367966E-3</v>
      </c>
    </row>
    <row r="20" spans="1:8" ht="16.5">
      <c r="A20" s="3" t="s">
        <v>15</v>
      </c>
      <c r="B20" s="58">
        <v>23.2339551986475</v>
      </c>
      <c r="C20" s="58">
        <v>8.5942212565964304</v>
      </c>
      <c r="D20" s="58">
        <v>8.1591945601868705</v>
      </c>
      <c r="E20" s="58">
        <v>8.5442659940949692</v>
      </c>
      <c r="F20" s="145">
        <f>E20-B20</f>
        <v>-14.689689204552531</v>
      </c>
      <c r="G20" s="148">
        <f t="shared" ref="G20:G25" si="4">E20-C20</f>
        <v>-4.9955262501461206E-2</v>
      </c>
      <c r="H20" s="58">
        <f t="shared" si="3"/>
        <v>0.38507143390809873</v>
      </c>
    </row>
    <row r="21" spans="1:8" ht="16.5">
      <c r="A21" s="3" t="s">
        <v>16</v>
      </c>
      <c r="B21" s="58">
        <v>74.375412339700404</v>
      </c>
      <c r="C21" s="58">
        <v>89.687589910836806</v>
      </c>
      <c r="D21" s="58">
        <v>91.058772568708306</v>
      </c>
      <c r="E21" s="58">
        <v>90.678692750471498</v>
      </c>
      <c r="F21" s="145">
        <f t="shared" ref="F21" si="5">E21-B21</f>
        <v>16.303280410771094</v>
      </c>
      <c r="G21" s="148">
        <f t="shared" si="4"/>
        <v>0.99110283963469215</v>
      </c>
      <c r="H21" s="58">
        <f t="shared" si="3"/>
        <v>-0.38007981823680836</v>
      </c>
    </row>
    <row r="22" spans="1:8" ht="16.5">
      <c r="A22" s="20" t="s">
        <v>17</v>
      </c>
      <c r="B22" s="13">
        <v>100</v>
      </c>
      <c r="C22" s="13">
        <v>100</v>
      </c>
      <c r="D22" s="14">
        <v>100</v>
      </c>
      <c r="E22" s="13">
        <v>100</v>
      </c>
      <c r="F22" s="13"/>
      <c r="G22" s="13"/>
      <c r="H22" s="13"/>
    </row>
    <row r="23" spans="1:8" ht="16.5">
      <c r="A23" s="3" t="s">
        <v>1</v>
      </c>
      <c r="B23" s="5"/>
      <c r="C23" s="5"/>
      <c r="D23" s="5"/>
      <c r="E23" s="5"/>
      <c r="F23" s="5"/>
      <c r="G23" s="148"/>
      <c r="H23" s="58"/>
    </row>
    <row r="24" spans="1:8" ht="16.5">
      <c r="A24" s="3" t="s">
        <v>18</v>
      </c>
      <c r="B24" s="58">
        <v>10.450275024266</v>
      </c>
      <c r="C24" s="58">
        <v>12.5019007418908</v>
      </c>
      <c r="D24" s="58">
        <v>13.482398696423701</v>
      </c>
      <c r="E24" s="58">
        <v>13.507950663152901</v>
      </c>
      <c r="F24" s="145">
        <f>E24-B24</f>
        <v>3.0576756388869004</v>
      </c>
      <c r="G24" s="148">
        <f t="shared" si="4"/>
        <v>1.0060499212621004</v>
      </c>
      <c r="H24" s="58">
        <f t="shared" si="3"/>
        <v>2.5551966729199904E-2</v>
      </c>
    </row>
    <row r="25" spans="1:8" ht="16.5">
      <c r="A25" s="3" t="s">
        <v>19</v>
      </c>
      <c r="B25" s="58">
        <v>89.549724975733994</v>
      </c>
      <c r="C25" s="58">
        <v>87.498099258109093</v>
      </c>
      <c r="D25" s="58">
        <v>86.517601303576299</v>
      </c>
      <c r="E25" s="58">
        <v>86.492049336847103</v>
      </c>
      <c r="F25" s="145">
        <f>E25-B25</f>
        <v>-3.0576756388868915</v>
      </c>
      <c r="G25" s="148">
        <f t="shared" si="4"/>
        <v>-1.0060499212619902</v>
      </c>
      <c r="H25" s="58">
        <f t="shared" si="3"/>
        <v>-2.5551966729196351E-2</v>
      </c>
    </row>
    <row r="26" spans="1:8" ht="22.5" customHeight="1">
      <c r="A26" s="204" t="s">
        <v>41</v>
      </c>
      <c r="B26" s="204"/>
      <c r="C26" s="204"/>
      <c r="D26" s="204"/>
      <c r="E26" s="204"/>
      <c r="F26" s="204"/>
      <c r="G26" s="204"/>
      <c r="H26" s="204"/>
    </row>
  </sheetData>
  <mergeCells count="2">
    <mergeCell ref="A2:H2"/>
    <mergeCell ref="A26:H26"/>
  </mergeCells>
  <pageMargins left="1.0416666666666666E-2" right="1.0416666666666666E-2" top="0.2" bottom="0.22" header="0.21" footer="0.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view="pageLayout" workbookViewId="0">
      <selection activeCell="E5" sqref="E5"/>
    </sheetView>
  </sheetViews>
  <sheetFormatPr defaultRowHeight="15"/>
  <cols>
    <col min="1" max="1" width="67.28515625" customWidth="1"/>
    <col min="2" max="2" width="9.140625" style="25" customWidth="1"/>
    <col min="3" max="3" width="8.85546875" style="44" customWidth="1"/>
    <col min="4" max="4" width="8.7109375" style="25" customWidth="1"/>
    <col min="5" max="5" width="8.85546875" style="44" customWidth="1"/>
    <col min="6" max="6" width="9.28515625" customWidth="1"/>
    <col min="7" max="7" width="10" customWidth="1"/>
    <col min="8" max="9" width="9.140625" customWidth="1"/>
  </cols>
  <sheetData>
    <row r="1" spans="1:9" ht="17.25" customHeight="1">
      <c r="A1" s="123" t="s">
        <v>70</v>
      </c>
      <c r="B1" s="26"/>
      <c r="C1" s="123"/>
      <c r="D1" s="26"/>
      <c r="E1" s="123"/>
      <c r="F1" s="8"/>
      <c r="G1" s="8"/>
      <c r="H1" s="8"/>
      <c r="I1" s="8"/>
    </row>
    <row r="2" spans="1:9" s="21" customFormat="1" ht="17.25" customHeight="1">
      <c r="A2" s="15" t="s">
        <v>122</v>
      </c>
      <c r="B2" s="15"/>
      <c r="C2" s="15"/>
      <c r="D2" s="15"/>
      <c r="E2" s="15"/>
      <c r="F2" s="15"/>
      <c r="G2" s="8"/>
      <c r="H2" s="8"/>
      <c r="I2" s="8"/>
    </row>
    <row r="3" spans="1:9" s="21" customFormat="1" ht="17.25" customHeight="1">
      <c r="A3" s="129" t="s">
        <v>127</v>
      </c>
      <c r="B3" s="129"/>
      <c r="C3" s="129"/>
      <c r="D3" s="129"/>
      <c r="E3" s="129"/>
      <c r="F3" s="129"/>
      <c r="G3" s="8"/>
      <c r="H3" s="8"/>
      <c r="I3" s="8"/>
    </row>
    <row r="4" spans="1:9" ht="20.25" customHeight="1">
      <c r="A4" s="15" t="s">
        <v>36</v>
      </c>
      <c r="B4" s="15"/>
      <c r="C4" s="15"/>
      <c r="D4" s="15"/>
      <c r="E4" s="15"/>
      <c r="F4" s="8"/>
      <c r="G4" s="8"/>
      <c r="H4" s="8"/>
      <c r="I4" s="8"/>
    </row>
    <row r="5" spans="1:9" ht="173.25" customHeight="1">
      <c r="A5" s="2"/>
      <c r="B5" s="11" t="s">
        <v>142</v>
      </c>
      <c r="C5" s="11" t="s">
        <v>138</v>
      </c>
      <c r="D5" s="11" t="s">
        <v>117</v>
      </c>
      <c r="E5" s="11" t="s">
        <v>125</v>
      </c>
      <c r="F5" s="11" t="s">
        <v>151</v>
      </c>
      <c r="G5" s="11" t="s">
        <v>152</v>
      </c>
      <c r="H5" s="11" t="s">
        <v>153</v>
      </c>
    </row>
    <row r="6" spans="1:9" ht="42.75" customHeight="1">
      <c r="A6" s="22" t="s">
        <v>20</v>
      </c>
      <c r="B6" s="60">
        <v>4.5934316006885396</v>
      </c>
      <c r="C6" s="60">
        <v>5.0523880841221596</v>
      </c>
      <c r="D6" s="60">
        <v>4.8873446100004596</v>
      </c>
      <c r="E6" s="60">
        <v>4.87</v>
      </c>
      <c r="F6" s="59">
        <f>E6-B6</f>
        <v>0.27656839931146049</v>
      </c>
      <c r="G6" s="59">
        <f>E6-C6</f>
        <v>-0.18238808412215946</v>
      </c>
      <c r="H6" s="60">
        <f>E6-D6</f>
        <v>-1.7344610000459504E-2</v>
      </c>
    </row>
    <row r="7" spans="1:9" ht="34.5" customHeight="1">
      <c r="A7" s="9" t="s">
        <v>54</v>
      </c>
      <c r="B7" s="58">
        <v>1.6320974900177301</v>
      </c>
      <c r="C7" s="58">
        <v>1.9445069728611299</v>
      </c>
      <c r="D7" s="58">
        <v>2.0952320538179601</v>
      </c>
      <c r="E7" s="58">
        <v>2.12</v>
      </c>
      <c r="F7" s="61">
        <f>E7-B7</f>
        <v>0.48790250998227003</v>
      </c>
      <c r="G7" s="61">
        <f t="shared" ref="G7:G10" si="0">E7-C7</f>
        <v>0.17549302713887016</v>
      </c>
      <c r="H7" s="143">
        <f t="shared" ref="H7:H11" si="1">E7-D7</f>
        <v>2.4767946182040035E-2</v>
      </c>
    </row>
    <row r="8" spans="1:9" ht="34.5" customHeight="1">
      <c r="A8" s="9" t="s">
        <v>21</v>
      </c>
      <c r="B8" s="4" t="s">
        <v>24</v>
      </c>
      <c r="C8" s="4" t="s">
        <v>24</v>
      </c>
      <c r="D8" s="4" t="s">
        <v>24</v>
      </c>
      <c r="E8" s="4" t="s">
        <v>24</v>
      </c>
      <c r="F8" s="4" t="s">
        <v>24</v>
      </c>
      <c r="G8" s="4" t="s">
        <v>24</v>
      </c>
      <c r="H8" s="4" t="s">
        <v>24</v>
      </c>
    </row>
    <row r="9" spans="1:9" ht="35.25" customHeight="1">
      <c r="A9" s="9" t="s">
        <v>22</v>
      </c>
      <c r="B9" s="58">
        <v>14.0325054696207</v>
      </c>
      <c r="C9" s="58">
        <v>13.413675475963901</v>
      </c>
      <c r="D9" s="58">
        <v>13.087737381830999</v>
      </c>
      <c r="E9" s="58">
        <v>12.87</v>
      </c>
      <c r="F9" s="61">
        <f t="shared" ref="F9:F10" si="2">E9-B9</f>
        <v>-1.1625054696207009</v>
      </c>
      <c r="G9" s="61">
        <f t="shared" si="0"/>
        <v>-0.54367547596390153</v>
      </c>
      <c r="H9" s="58">
        <f t="shared" si="1"/>
        <v>-0.21773738183100022</v>
      </c>
    </row>
    <row r="10" spans="1:9" s="44" customFormat="1" ht="35.25" customHeight="1">
      <c r="A10" s="9" t="s">
        <v>23</v>
      </c>
      <c r="B10" s="199">
        <v>6.8749550032397702</v>
      </c>
      <c r="C10" s="199">
        <v>6.8749550032397702</v>
      </c>
      <c r="D10" s="199">
        <v>6.8749550032397702</v>
      </c>
      <c r="E10" s="58">
        <v>6.87</v>
      </c>
      <c r="F10" s="198">
        <f t="shared" si="2"/>
        <v>-4.9550032397700505E-3</v>
      </c>
      <c r="G10" s="198">
        <f t="shared" si="0"/>
        <v>-4.9550032397700505E-3</v>
      </c>
      <c r="H10" s="200">
        <f t="shared" si="1"/>
        <v>-4.9550032397700505E-3</v>
      </c>
    </row>
    <row r="11" spans="1:9" s="44" customFormat="1" ht="35.25" customHeight="1">
      <c r="A11" s="9" t="s">
        <v>67</v>
      </c>
      <c r="B11" s="4" t="s">
        <v>24</v>
      </c>
      <c r="C11" s="4">
        <v>1</v>
      </c>
      <c r="D11" s="4">
        <v>1</v>
      </c>
      <c r="E11" s="4">
        <v>1</v>
      </c>
      <c r="F11" s="4" t="s">
        <v>24</v>
      </c>
      <c r="G11" s="4" t="s">
        <v>24</v>
      </c>
      <c r="H11" s="131">
        <f t="shared" si="1"/>
        <v>0</v>
      </c>
    </row>
    <row r="12" spans="1:9" ht="33" customHeight="1">
      <c r="A12" s="9" t="s">
        <v>68</v>
      </c>
      <c r="B12" s="4" t="s">
        <v>24</v>
      </c>
      <c r="C12" s="4" t="s">
        <v>24</v>
      </c>
      <c r="D12" s="4" t="s">
        <v>24</v>
      </c>
      <c r="E12" s="4" t="s">
        <v>24</v>
      </c>
      <c r="F12" s="4" t="s">
        <v>24</v>
      </c>
      <c r="G12" s="4" t="s">
        <v>24</v>
      </c>
      <c r="H12" s="4" t="s">
        <v>24</v>
      </c>
    </row>
    <row r="14" spans="1:9" ht="29.25" customHeight="1">
      <c r="A14" s="204" t="s">
        <v>88</v>
      </c>
      <c r="B14" s="204"/>
      <c r="C14" s="204"/>
      <c r="D14" s="204"/>
      <c r="E14" s="204"/>
      <c r="F14" s="204"/>
      <c r="G14" s="204"/>
      <c r="H14" s="204"/>
    </row>
  </sheetData>
  <mergeCells count="1">
    <mergeCell ref="A14:H14"/>
  </mergeCells>
  <pageMargins left="0.7" right="5.2083333333333336E-2" top="0.2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view="pageLayout" topLeftCell="A3" workbookViewId="0">
      <selection activeCell="F8" sqref="F8:F10"/>
    </sheetView>
  </sheetViews>
  <sheetFormatPr defaultRowHeight="15"/>
  <cols>
    <col min="1" max="1" width="37.42578125" customWidth="1"/>
    <col min="2" max="2" width="11.85546875" customWidth="1"/>
    <col min="3" max="3" width="11.5703125" style="44" customWidth="1"/>
    <col min="4" max="4" width="11.7109375" customWidth="1"/>
    <col min="5" max="5" width="11.5703125" customWidth="1"/>
    <col min="6" max="6" width="11.5703125" style="44" customWidth="1"/>
    <col min="7" max="7" width="13.7109375" customWidth="1"/>
    <col min="8" max="8" width="14.42578125" customWidth="1"/>
    <col min="9" max="9" width="14.7109375" customWidth="1"/>
  </cols>
  <sheetData>
    <row r="1" spans="1:9" hidden="1"/>
    <row r="2" spans="1:9" hidden="1"/>
    <row r="3" spans="1:9" ht="48.75" customHeight="1">
      <c r="A3" s="213" t="s">
        <v>121</v>
      </c>
      <c r="B3" s="213"/>
      <c r="C3" s="213"/>
      <c r="D3" s="213"/>
      <c r="E3" s="213"/>
      <c r="F3" s="213"/>
      <c r="G3" s="213"/>
      <c r="H3" s="213"/>
      <c r="I3" s="213"/>
    </row>
    <row r="4" spans="1:9" ht="31.5" customHeight="1">
      <c r="A4" s="213" t="s">
        <v>128</v>
      </c>
      <c r="B4" s="213"/>
      <c r="C4" s="213"/>
      <c r="D4" s="213"/>
      <c r="E4" s="213"/>
      <c r="F4" s="213"/>
      <c r="G4" s="213"/>
      <c r="H4" s="213"/>
      <c r="I4" s="213"/>
    </row>
    <row r="5" spans="1:9" ht="16.5">
      <c r="A5" s="31"/>
      <c r="B5" s="31"/>
      <c r="C5" s="31"/>
      <c r="D5" s="31"/>
      <c r="E5" s="31" t="s">
        <v>37</v>
      </c>
      <c r="F5" s="31"/>
      <c r="G5" s="31"/>
      <c r="H5" s="31"/>
      <c r="I5" s="31"/>
    </row>
    <row r="6" spans="1:9" ht="4.5" customHeight="1">
      <c r="A6" s="25"/>
      <c r="B6" s="25"/>
      <c r="D6" s="25"/>
      <c r="E6" s="25"/>
      <c r="G6" s="25"/>
      <c r="H6" s="25"/>
      <c r="I6" s="25"/>
    </row>
    <row r="7" spans="1:9" ht="181.5" customHeight="1">
      <c r="A7" s="11"/>
      <c r="B7" s="11" t="s">
        <v>143</v>
      </c>
      <c r="C7" s="11" t="s">
        <v>139</v>
      </c>
      <c r="D7" s="11" t="s">
        <v>123</v>
      </c>
      <c r="E7" s="11" t="s">
        <v>129</v>
      </c>
      <c r="F7" s="11" t="s">
        <v>130</v>
      </c>
      <c r="G7" s="11" t="s">
        <v>131</v>
      </c>
      <c r="H7" s="11" t="s">
        <v>132</v>
      </c>
      <c r="I7" s="11" t="s">
        <v>133</v>
      </c>
    </row>
    <row r="8" spans="1:9" ht="38.25" customHeight="1">
      <c r="A8" s="43" t="s">
        <v>38</v>
      </c>
      <c r="B8" s="29">
        <f>4.7009+'[1]Կառ. արտաքին վարկեր'!$D$59</f>
        <v>9.7626650000000001</v>
      </c>
      <c r="C8" s="29">
        <f>5.8+'[2]Կառավարության արտաքին վարկեր'!$E$59</f>
        <v>10.369179810000002</v>
      </c>
      <c r="D8" s="29">
        <v>6.97191239</v>
      </c>
      <c r="E8" s="29">
        <v>6.1253489400000003</v>
      </c>
      <c r="F8" s="29">
        <f>10.14138721+'[3]Կառավարության արտաքին վարկեր'!$E$58</f>
        <v>16.26673615</v>
      </c>
      <c r="G8" s="29">
        <f>F8/B8*100</f>
        <v>166.62188193490201</v>
      </c>
      <c r="H8" s="29">
        <f>F8/C8*100</f>
        <v>156.87582285256946</v>
      </c>
      <c r="I8" s="29">
        <f>E8/D8*100</f>
        <v>87.857514514751387</v>
      </c>
    </row>
    <row r="9" spans="1:9" ht="36.75" customHeight="1">
      <c r="A9" s="43" t="s">
        <v>39</v>
      </c>
      <c r="B9" s="36">
        <f>9.7228+'[1]Կառ. արտաքին վարկեր'!$D$60</f>
        <v>18.784298589999999</v>
      </c>
      <c r="C9" s="29">
        <f>12.4+'[2]Կառավարության արտաքին վարկեր'!$E$60</f>
        <v>22.008127810000001</v>
      </c>
      <c r="D9" s="29">
        <v>16.393287319999999</v>
      </c>
      <c r="E9" s="29">
        <v>12.950476289999999</v>
      </c>
      <c r="F9" s="29">
        <f>24.4556312332148+'[3]Կառավարության արտաքին վարկեր'!$E$59</f>
        <v>37.4061075232148</v>
      </c>
      <c r="G9" s="29">
        <f>F9/B9*100</f>
        <v>199.13497085873783</v>
      </c>
      <c r="H9" s="29">
        <f t="shared" ref="H9:H10" si="0">F9/C9*100</f>
        <v>169.96496860681762</v>
      </c>
      <c r="I9" s="29">
        <f t="shared" ref="I9:I10" si="1">E9/D9*100</f>
        <v>78.998653761166437</v>
      </c>
    </row>
    <row r="10" spans="1:9" ht="42" customHeight="1">
      <c r="A10" s="43" t="s">
        <v>40</v>
      </c>
      <c r="B10" s="29">
        <f>18.0196+'[1]Կառ. արտաքին վարկեր'!$D$61</f>
        <v>28.008438236</v>
      </c>
      <c r="C10" s="29">
        <f>16.9+'[2]Կառավարության արտաքին վարկեր'!$E$61</f>
        <v>23.840789818999998</v>
      </c>
      <c r="D10" s="29">
        <v>16.345960826999999</v>
      </c>
      <c r="E10" s="29">
        <v>17.331170492999998</v>
      </c>
      <c r="F10" s="29">
        <f>25.505599267+'[3]Կառավարության արտաքին վարկեր'!$E$60</f>
        <v>42.836769759999996</v>
      </c>
      <c r="G10" s="29">
        <f t="shared" ref="G10" si="2">F10/B10*100</f>
        <v>152.94237186327919</v>
      </c>
      <c r="H10" s="29">
        <f t="shared" si="0"/>
        <v>179.67848416607865</v>
      </c>
      <c r="I10" s="29">
        <f t="shared" si="1"/>
        <v>106.02723618652409</v>
      </c>
    </row>
    <row r="11" spans="1:9">
      <c r="A11" s="25"/>
      <c r="B11" s="25"/>
      <c r="D11" s="25"/>
      <c r="E11" s="25"/>
      <c r="G11" s="25"/>
      <c r="H11" s="25"/>
      <c r="I11" s="25"/>
    </row>
    <row r="12" spans="1:9" ht="39.75" customHeight="1">
      <c r="A12" s="214" t="s">
        <v>41</v>
      </c>
      <c r="B12" s="214"/>
      <c r="C12" s="214"/>
      <c r="D12" s="214"/>
      <c r="E12" s="214"/>
      <c r="F12" s="214"/>
      <c r="G12" s="214"/>
      <c r="H12" s="214"/>
      <c r="I12" s="214"/>
    </row>
  </sheetData>
  <mergeCells count="3">
    <mergeCell ref="A3:I3"/>
    <mergeCell ref="A4:I4"/>
    <mergeCell ref="A12:I12"/>
  </mergeCells>
  <pageMargins left="0.46875" right="0.17708333333333334" top="0.63541666666666663" bottom="0.75" header="0.3" footer="0.3"/>
  <pageSetup paperSize="9" orientation="landscape" verticalDpi="0" r:id="rId1"/>
  <headerFooter>
    <oddHeader>&amp;C&amp;"GHEA Grapalat,Bold"ՏԵՂԵԿԱՆՔ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H17"/>
  <sheetViews>
    <sheetView view="pageLayout" topLeftCell="A7" workbookViewId="0">
      <selection activeCell="B15" sqref="B15:D15"/>
    </sheetView>
  </sheetViews>
  <sheetFormatPr defaultRowHeight="15"/>
  <cols>
    <col min="1" max="1" width="60" customWidth="1"/>
    <col min="2" max="2" width="16.28515625" customWidth="1"/>
    <col min="3" max="3" width="16.140625" customWidth="1"/>
    <col min="4" max="4" width="16.140625" style="44" customWidth="1"/>
    <col min="5" max="5" width="18.5703125" customWidth="1"/>
  </cols>
  <sheetData>
    <row r="4" spans="1:5" ht="16.5">
      <c r="A4" s="216" t="s">
        <v>65</v>
      </c>
      <c r="B4" s="216"/>
      <c r="C4" s="216"/>
      <c r="D4" s="216"/>
      <c r="E4" s="216"/>
    </row>
    <row r="5" spans="1:5" ht="30" customHeight="1">
      <c r="A5" s="215" t="s">
        <v>69</v>
      </c>
      <c r="B5" s="215"/>
      <c r="C5" s="215"/>
      <c r="D5" s="215"/>
      <c r="E5" s="215"/>
    </row>
    <row r="8" spans="1:5" ht="105.75" customHeight="1">
      <c r="A8" s="47"/>
      <c r="B8" s="48" t="s">
        <v>142</v>
      </c>
      <c r="C8" s="48" t="s">
        <v>138</v>
      </c>
      <c r="D8" s="48" t="s">
        <v>125</v>
      </c>
      <c r="E8" s="49" t="s">
        <v>118</v>
      </c>
    </row>
    <row r="9" spans="1:5" ht="21.75" customHeight="1">
      <c r="A9" s="50" t="s">
        <v>56</v>
      </c>
      <c r="B9" s="51"/>
      <c r="C9" s="51"/>
      <c r="D9" s="51"/>
      <c r="E9" s="53"/>
    </row>
    <row r="10" spans="1:5" ht="38.25" customHeight="1">
      <c r="A10" s="55" t="s">
        <v>64</v>
      </c>
      <c r="B10" s="187">
        <v>9.5192567660537701</v>
      </c>
      <c r="C10" s="187">
        <v>9.2367024657857808</v>
      </c>
      <c r="D10" s="187">
        <v>9.01</v>
      </c>
      <c r="E10" s="56" t="s">
        <v>57</v>
      </c>
    </row>
    <row r="11" spans="1:5" ht="57" customHeight="1">
      <c r="A11" s="55" t="s">
        <v>119</v>
      </c>
      <c r="B11" s="57" t="s">
        <v>120</v>
      </c>
      <c r="C11" s="187">
        <v>20.918272674339601</v>
      </c>
      <c r="D11" s="187">
        <v>11.74</v>
      </c>
      <c r="E11" s="56" t="s">
        <v>58</v>
      </c>
    </row>
    <row r="12" spans="1:5" ht="17.25">
      <c r="A12" s="52" t="s">
        <v>59</v>
      </c>
      <c r="B12" s="54"/>
      <c r="C12" s="54"/>
      <c r="D12" s="54"/>
      <c r="E12" s="53"/>
    </row>
    <row r="13" spans="1:5" ht="38.25" customHeight="1">
      <c r="A13" s="55" t="s">
        <v>60</v>
      </c>
      <c r="B13" s="187">
        <v>89.549724975733994</v>
      </c>
      <c r="C13" s="187">
        <v>87.498099258109093</v>
      </c>
      <c r="D13" s="187">
        <v>86.49</v>
      </c>
      <c r="E13" s="56" t="s">
        <v>61</v>
      </c>
    </row>
    <row r="14" spans="1:5" ht="17.25">
      <c r="A14" s="52" t="s">
        <v>62</v>
      </c>
      <c r="B14" s="54"/>
      <c r="C14" s="54"/>
      <c r="D14" s="54"/>
      <c r="E14" s="53"/>
    </row>
    <row r="15" spans="1:5" ht="24.75" customHeight="1">
      <c r="A15" s="55" t="s">
        <v>66</v>
      </c>
      <c r="B15" s="187">
        <v>16.914668772680201</v>
      </c>
      <c r="C15" s="188">
        <v>21.327396500186101</v>
      </c>
      <c r="D15" s="188">
        <v>20.911045602587301</v>
      </c>
      <c r="E15" s="56" t="s">
        <v>63</v>
      </c>
    </row>
    <row r="16" spans="1:5">
      <c r="B16" s="118"/>
      <c r="C16" s="118"/>
      <c r="D16" s="118"/>
    </row>
    <row r="17" spans="1:8" ht="24.75" customHeight="1">
      <c r="A17" s="217" t="s">
        <v>41</v>
      </c>
      <c r="B17" s="217"/>
      <c r="C17" s="217"/>
      <c r="D17" s="217"/>
      <c r="E17" s="217"/>
      <c r="F17" s="202"/>
      <c r="G17" s="202"/>
      <c r="H17" s="202"/>
    </row>
  </sheetData>
  <mergeCells count="3">
    <mergeCell ref="A5:E5"/>
    <mergeCell ref="A4:E4"/>
    <mergeCell ref="A17:E17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B14" sqref="B14:D14"/>
    </sheetView>
  </sheetViews>
  <sheetFormatPr defaultRowHeight="15"/>
  <cols>
    <col min="1" max="1" width="72.7109375" customWidth="1"/>
    <col min="2" max="2" width="17" customWidth="1"/>
    <col min="3" max="3" width="17.85546875" customWidth="1"/>
    <col min="4" max="4" width="17.85546875" style="44" customWidth="1"/>
    <col min="5" max="5" width="17.28515625" customWidth="1"/>
  </cols>
  <sheetData>
    <row r="1" spans="1:5" ht="17.25">
      <c r="A1" s="218" t="s">
        <v>65</v>
      </c>
      <c r="B1" s="218"/>
      <c r="C1" s="218"/>
      <c r="D1" s="218"/>
      <c r="E1" s="218"/>
    </row>
    <row r="2" spans="1:5" ht="17.25">
      <c r="A2" s="219" t="s">
        <v>134</v>
      </c>
      <c r="B2" s="219"/>
      <c r="C2" s="219"/>
      <c r="D2" s="219"/>
      <c r="E2" s="219"/>
    </row>
    <row r="3" spans="1:5">
      <c r="A3" s="44"/>
      <c r="B3" s="62" t="s">
        <v>71</v>
      </c>
      <c r="C3" s="44"/>
      <c r="E3" s="44"/>
    </row>
    <row r="4" spans="1:5" ht="53.25" customHeight="1">
      <c r="A4" s="63"/>
      <c r="B4" s="53" t="s">
        <v>144</v>
      </c>
      <c r="C4" s="53" t="s">
        <v>140</v>
      </c>
      <c r="D4" s="53" t="s">
        <v>130</v>
      </c>
      <c r="E4" s="133" t="s">
        <v>135</v>
      </c>
    </row>
    <row r="5" spans="1:5" ht="21.75" customHeight="1">
      <c r="A5" s="64" t="s">
        <v>72</v>
      </c>
      <c r="B5" s="65">
        <f>16.2+'[1]Պակասուրդի ֆինանսավորում'!$F$6</f>
        <v>20.449991910634498</v>
      </c>
      <c r="C5" s="201">
        <f>-0.48+'[2]Պակասուրդի ֆինանսավորում'!$F$6</f>
        <v>5.6176766710144008</v>
      </c>
      <c r="D5" s="65">
        <v>16.7863000686934</v>
      </c>
      <c r="E5" s="132">
        <v>100</v>
      </c>
    </row>
    <row r="6" spans="1:5" ht="18" customHeight="1">
      <c r="A6" s="66" t="s">
        <v>73</v>
      </c>
      <c r="B6" s="67"/>
      <c r="C6" s="67"/>
      <c r="D6" s="67"/>
      <c r="E6" s="68"/>
    </row>
    <row r="7" spans="1:5" ht="19.5" customHeight="1">
      <c r="A7" s="69" t="s">
        <v>74</v>
      </c>
      <c r="B7" s="70">
        <f>12+'[1]Պակասուրդի ֆինանսավորում'!$F$8</f>
        <v>15.6876293937</v>
      </c>
      <c r="C7" s="70">
        <f>-2.75+'[2]Պակասուրդի ֆինանսավորում'!$F$8</f>
        <v>4.5489039035000012</v>
      </c>
      <c r="D7" s="70">
        <v>14.264446596899999</v>
      </c>
      <c r="E7" s="70">
        <v>84.976716361119401</v>
      </c>
    </row>
    <row r="8" spans="1:5" ht="16.5" customHeight="1">
      <c r="A8" s="66" t="s">
        <v>73</v>
      </c>
      <c r="B8" s="67"/>
      <c r="C8" s="67"/>
      <c r="D8" s="67"/>
      <c r="E8" s="71"/>
    </row>
    <row r="9" spans="1:5" ht="34.5">
      <c r="A9" s="72" t="s">
        <v>75</v>
      </c>
      <c r="B9" s="71">
        <f>12+'[1]Պակասուրդի ֆինանսավորում'!$F$10</f>
        <v>15.6876293937</v>
      </c>
      <c r="C9" s="71">
        <f>-2.75+'[2]Պակասուրդի ֆինանսավորում'!$F$10</f>
        <v>4.5489039035000012</v>
      </c>
      <c r="D9" s="71">
        <v>14.264446596899999</v>
      </c>
      <c r="E9" s="73"/>
    </row>
    <row r="10" spans="1:5" ht="17.25">
      <c r="A10" s="74" t="s">
        <v>76</v>
      </c>
      <c r="B10" s="67"/>
      <c r="C10" s="67"/>
      <c r="D10" s="67"/>
      <c r="E10" s="67"/>
    </row>
    <row r="11" spans="1:5" ht="17.25">
      <c r="A11" s="75" t="s">
        <v>77</v>
      </c>
      <c r="B11" s="71">
        <f>17.4+'[1]Պակասուրդի ֆինանսավորում'!$F$12</f>
        <v>26.823320276699999</v>
      </c>
      <c r="C11" s="71">
        <f>20.12+'[2]Պակասուրդի ֆինանսավորում'!$F$12</f>
        <v>49.169554267500004</v>
      </c>
      <c r="D11" s="71">
        <v>52.440667807899999</v>
      </c>
      <c r="E11" s="73"/>
    </row>
    <row r="12" spans="1:5" ht="17.25">
      <c r="A12" s="75" t="s">
        <v>78</v>
      </c>
      <c r="B12" s="194">
        <f>-5.4+'[1]Պակասուրդի ֆինանսավորում'!$F$13</f>
        <v>-11.135690883000001</v>
      </c>
      <c r="C12" s="191">
        <f>-22.88+'[2]Պակասուրդի ֆինանսավորում'!$F$13</f>
        <v>-44.630650363999997</v>
      </c>
      <c r="D12" s="189">
        <v>-38.176221210999998</v>
      </c>
      <c r="E12" s="73"/>
    </row>
    <row r="13" spans="1:5" ht="17.25">
      <c r="A13" s="76" t="s">
        <v>79</v>
      </c>
      <c r="B13" s="65"/>
      <c r="C13" s="71"/>
      <c r="D13" s="71"/>
      <c r="E13" s="68"/>
    </row>
    <row r="14" spans="1:5" ht="17.25">
      <c r="A14" s="69" t="s">
        <v>80</v>
      </c>
      <c r="B14" s="70">
        <f>4.2+'[1]Պակասուրդի ֆինանսավորում'!$F$15</f>
        <v>4.7623625169345001</v>
      </c>
      <c r="C14" s="195">
        <f>2.27+'[2]Պակասուրդի ֆինանսավորում'!$F$15</f>
        <v>1.0687727675144005</v>
      </c>
      <c r="D14" s="70">
        <v>2.52185347179342</v>
      </c>
      <c r="E14" s="70">
        <v>15.023283638880599</v>
      </c>
    </row>
    <row r="15" spans="1:5" ht="17.25">
      <c r="A15" s="66" t="s">
        <v>73</v>
      </c>
      <c r="B15" s="67"/>
      <c r="C15" s="67"/>
      <c r="D15" s="67"/>
      <c r="E15" s="68"/>
    </row>
    <row r="16" spans="1:5" ht="17.25">
      <c r="A16" s="72" t="s">
        <v>81</v>
      </c>
      <c r="B16" s="71">
        <f>4.2+'[1]Պակասուրդի ֆինանսավորում'!$F$17</f>
        <v>4.7623625169345001</v>
      </c>
      <c r="C16" s="196">
        <f>2.27+'[2]Պակասուրդի ֆինանսավորում'!$F$17</f>
        <v>1.0687727675144005</v>
      </c>
      <c r="D16" s="71">
        <v>2.52185347179342</v>
      </c>
      <c r="E16" s="73"/>
    </row>
    <row r="17" spans="1:5" ht="17.25">
      <c r="A17" s="74" t="s">
        <v>76</v>
      </c>
      <c r="B17" s="67"/>
      <c r="C17" s="67"/>
      <c r="D17" s="67"/>
      <c r="E17" s="68"/>
    </row>
    <row r="18" spans="1:5" ht="17.25">
      <c r="A18" s="75" t="s">
        <v>82</v>
      </c>
      <c r="B18" s="68">
        <f>8.8+'[1]Պակասուրդի ֆինանսավորում'!$F$19</f>
        <v>13.652075952640001</v>
      </c>
      <c r="C18" s="68">
        <f>8.22+'[2]Պակասուրդի ֆինանսավորում'!$F$19</f>
        <v>11.586092402001</v>
      </c>
      <c r="D18" s="68">
        <v>20.594976833352</v>
      </c>
      <c r="E18" s="73"/>
    </row>
    <row r="19" spans="1:5" ht="17.25">
      <c r="A19" s="66" t="s">
        <v>73</v>
      </c>
      <c r="B19" s="67"/>
      <c r="C19" s="67"/>
      <c r="D19" s="67"/>
      <c r="E19" s="68"/>
    </row>
    <row r="20" spans="1:5" ht="17.25">
      <c r="A20" s="77" t="s">
        <v>83</v>
      </c>
      <c r="B20" s="68">
        <f>8.8+'[1]Պակասուրդի ֆինանսավորում'!$F$19</f>
        <v>13.652075952640001</v>
      </c>
      <c r="C20" s="68">
        <f>8.22+'[2]Պակասուրդի ֆինանսավորում'!$F$21</f>
        <v>11.586092402001</v>
      </c>
      <c r="D20" s="68">
        <v>20.594976833352</v>
      </c>
      <c r="E20" s="73"/>
    </row>
    <row r="21" spans="1:5" ht="17.25">
      <c r="A21" s="77" t="s">
        <v>84</v>
      </c>
      <c r="B21" s="68" t="s">
        <v>24</v>
      </c>
      <c r="C21" s="68" t="s">
        <v>24</v>
      </c>
      <c r="D21" s="68" t="s">
        <v>24</v>
      </c>
      <c r="E21" s="68"/>
    </row>
    <row r="22" spans="1:5" ht="17.25">
      <c r="A22" s="75" t="s">
        <v>85</v>
      </c>
      <c r="B22" s="191">
        <f>-4.63+'[1]Պակասուրդի ֆինանսավորում'!$F$23</f>
        <v>-8.9197134357054999</v>
      </c>
      <c r="C22" s="192">
        <f>-5.94+'[2]Պակասուրդի ֆինանսավորում'!$F$23</f>
        <v>-10.507319634486599</v>
      </c>
      <c r="D22" s="189">
        <v>-18.073123361558579</v>
      </c>
      <c r="E22" s="73"/>
    </row>
    <row r="23" spans="1:5" ht="34.5">
      <c r="A23" s="72" t="s">
        <v>86</v>
      </c>
      <c r="B23" s="68" t="s">
        <v>24</v>
      </c>
      <c r="C23" s="68" t="s">
        <v>24</v>
      </c>
      <c r="D23" s="68" t="s">
        <v>24</v>
      </c>
      <c r="E23" s="73"/>
    </row>
    <row r="24" spans="1:5" ht="16.5" customHeight="1">
      <c r="A24" s="74" t="s">
        <v>76</v>
      </c>
      <c r="B24" s="67"/>
      <c r="C24" s="67"/>
      <c r="D24" s="67"/>
      <c r="E24" s="67"/>
    </row>
    <row r="25" spans="1:5" ht="17.25">
      <c r="A25" s="75" t="s">
        <v>77</v>
      </c>
      <c r="B25" s="68" t="s">
        <v>24</v>
      </c>
      <c r="C25" s="68" t="s">
        <v>24</v>
      </c>
      <c r="D25" s="68" t="s">
        <v>24</v>
      </c>
      <c r="E25" s="73"/>
    </row>
    <row r="26" spans="1:5" ht="17.25">
      <c r="A26" s="78" t="s">
        <v>78</v>
      </c>
      <c r="B26" s="68" t="s">
        <v>24</v>
      </c>
      <c r="C26" s="68" t="s">
        <v>24</v>
      </c>
      <c r="D26" s="68" t="s">
        <v>24</v>
      </c>
      <c r="E26" s="73"/>
    </row>
    <row r="27" spans="1:5">
      <c r="A27" s="79" t="s">
        <v>87</v>
      </c>
      <c r="B27" s="44"/>
      <c r="C27" s="44"/>
      <c r="E27" s="44"/>
    </row>
    <row r="28" spans="1:5" ht="33" customHeight="1">
      <c r="A28" s="220" t="s">
        <v>88</v>
      </c>
      <c r="B28" s="220"/>
      <c r="C28" s="220"/>
      <c r="D28" s="220"/>
      <c r="E28" s="220"/>
    </row>
  </sheetData>
  <mergeCells count="3">
    <mergeCell ref="A1:E1"/>
    <mergeCell ref="A2:E2"/>
    <mergeCell ref="A28:E28"/>
  </mergeCells>
  <pageMargins left="0.2" right="0.23" top="0.31" bottom="0.27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B12" sqref="B12:D12"/>
    </sheetView>
  </sheetViews>
  <sheetFormatPr defaultRowHeight="15"/>
  <cols>
    <col min="1" max="1" width="61" customWidth="1"/>
    <col min="2" max="2" width="15.85546875" customWidth="1"/>
    <col min="3" max="3" width="15.5703125" customWidth="1"/>
    <col min="4" max="4" width="15" style="44" customWidth="1"/>
    <col min="5" max="5" width="15.7109375" customWidth="1"/>
  </cols>
  <sheetData>
    <row r="1" spans="1:5" ht="16.5">
      <c r="A1" s="213" t="s">
        <v>65</v>
      </c>
      <c r="B1" s="213"/>
      <c r="C1" s="213"/>
      <c r="D1" s="213"/>
      <c r="E1" s="213"/>
    </row>
    <row r="2" spans="1:5" ht="36.75" customHeight="1">
      <c r="A2" s="219" t="s">
        <v>136</v>
      </c>
      <c r="B2" s="219"/>
      <c r="C2" s="219"/>
      <c r="D2" s="219"/>
      <c r="E2" s="219"/>
    </row>
    <row r="3" spans="1:5">
      <c r="A3" s="44"/>
      <c r="B3" s="44"/>
      <c r="C3" s="62" t="s">
        <v>71</v>
      </c>
      <c r="D3" s="62"/>
      <c r="E3" s="44"/>
    </row>
    <row r="4" spans="1:5">
      <c r="A4" s="44"/>
      <c r="B4" s="44"/>
      <c r="C4" s="44"/>
      <c r="E4" s="44"/>
    </row>
    <row r="5" spans="1:5" ht="51.75">
      <c r="A5" s="63"/>
      <c r="B5" s="53" t="s">
        <v>144</v>
      </c>
      <c r="C5" s="53" t="s">
        <v>140</v>
      </c>
      <c r="D5" s="53" t="s">
        <v>130</v>
      </c>
      <c r="E5" s="53" t="s">
        <v>135</v>
      </c>
    </row>
    <row r="6" spans="1:5" ht="17.25">
      <c r="A6" s="80" t="s">
        <v>89</v>
      </c>
      <c r="B6" s="81">
        <f>9.8+'[1]Պակասուրդի ֆինանսավորում'!$F$38</f>
        <v>28.091633580044402</v>
      </c>
      <c r="C6" s="81">
        <f>10.6+'[2]Պակասուրդի ֆինանսավորում'!$F$33</f>
        <v>29.196920738117001</v>
      </c>
      <c r="D6" s="81">
        <v>34.066969585696803</v>
      </c>
      <c r="E6" s="81">
        <v>100</v>
      </c>
    </row>
    <row r="7" spans="1:5" ht="17.25">
      <c r="A7" s="88" t="s">
        <v>73</v>
      </c>
      <c r="B7" s="67"/>
      <c r="C7" s="82"/>
      <c r="D7" s="82"/>
      <c r="E7" s="82"/>
    </row>
    <row r="8" spans="1:5" ht="17.25">
      <c r="A8" s="83" t="s">
        <v>90</v>
      </c>
      <c r="B8" s="84">
        <f>7.5+'[1]Պակասուրդի ֆինանսավորում'!$F$40</f>
        <v>7.8313464809999997</v>
      </c>
      <c r="C8" s="85">
        <f>7.8+'[2]Պակասուրդի ֆինանսավորում'!$F$35</f>
        <v>8.5964286492499991</v>
      </c>
      <c r="D8" s="85">
        <v>10.32795364</v>
      </c>
      <c r="E8" s="85">
        <v>30.3166197803994</v>
      </c>
    </row>
    <row r="9" spans="1:5" ht="17.25">
      <c r="A9" s="88" t="s">
        <v>73</v>
      </c>
      <c r="B9" s="67"/>
      <c r="C9" s="82"/>
      <c r="D9" s="82"/>
      <c r="E9" s="82"/>
    </row>
    <row r="10" spans="1:5" s="44" customFormat="1" ht="34.5">
      <c r="A10" s="86" t="s">
        <v>91</v>
      </c>
      <c r="B10" s="82">
        <f>7.5+'[1]Պակասուրդի ֆինանսավորում'!$F$42</f>
        <v>7.8313464809999997</v>
      </c>
      <c r="C10" s="82">
        <f>7.8+'[2]Պակասուրդի ֆինանսավորում'!$F$37</f>
        <v>8.5964286492499991</v>
      </c>
      <c r="D10" s="142">
        <v>10.32795364</v>
      </c>
      <c r="E10" s="142">
        <v>30.3166197803994</v>
      </c>
    </row>
    <row r="11" spans="1:5" ht="17.25">
      <c r="A11" s="87" t="s">
        <v>92</v>
      </c>
      <c r="B11" s="81"/>
      <c r="C11" s="82"/>
      <c r="D11" s="82"/>
      <c r="E11" s="73"/>
    </row>
    <row r="12" spans="1:5" ht="17.25">
      <c r="A12" s="83" t="s">
        <v>93</v>
      </c>
      <c r="B12" s="84">
        <f>2.2+'[1]Պակասուրդի ֆինանսավորում'!$F$44</f>
        <v>20.1602870990444</v>
      </c>
      <c r="C12" s="185">
        <f>2.8+'[2]Պակասուրդի ֆինանսավորում'!$F$39</f>
        <v>20.600492088867</v>
      </c>
      <c r="D12" s="185">
        <v>23.739015945696799</v>
      </c>
      <c r="E12" s="190">
        <v>69.683380219600593</v>
      </c>
    </row>
    <row r="13" spans="1:5" ht="17.25">
      <c r="A13" s="88" t="s">
        <v>73</v>
      </c>
      <c r="B13" s="67"/>
      <c r="C13" s="82"/>
      <c r="D13" s="82"/>
      <c r="E13" s="82"/>
    </row>
    <row r="14" spans="1:5" s="44" customFormat="1" ht="34.5">
      <c r="A14" s="87" t="s">
        <v>94</v>
      </c>
      <c r="B14" s="82">
        <f>2.2+'[1]Պակասուրդի ֆինանսավորում'!$F$46</f>
        <v>4.5962395550444004</v>
      </c>
      <c r="C14" s="82">
        <f>2.8+'[2]Պակասուրդի ֆինանսավորում'!$F$41</f>
        <v>4.9720053112669991</v>
      </c>
      <c r="D14" s="82">
        <v>7.85737503609682</v>
      </c>
      <c r="E14" s="82">
        <v>23.064496583211699</v>
      </c>
    </row>
    <row r="15" spans="1:5" s="44" customFormat="1" ht="35.25" thickBot="1">
      <c r="A15" s="89" t="s">
        <v>95</v>
      </c>
      <c r="B15" s="82">
        <v>15.564047543999999</v>
      </c>
      <c r="C15" s="203">
        <v>15.628486777599999</v>
      </c>
      <c r="D15" s="82">
        <v>15.8816409096</v>
      </c>
      <c r="E15" s="82">
        <v>46.618883636388901</v>
      </c>
    </row>
    <row r="16" spans="1:5" ht="18" thickTop="1">
      <c r="A16" s="90" t="s">
        <v>96</v>
      </c>
      <c r="B16" s="91"/>
      <c r="C16" s="91"/>
      <c r="D16" s="91"/>
      <c r="E16" s="115"/>
    </row>
    <row r="17" spans="1:5">
      <c r="A17" s="44"/>
      <c r="B17" s="44"/>
      <c r="C17" s="44"/>
      <c r="E17" s="44"/>
    </row>
    <row r="18" spans="1:5" ht="34.5" customHeight="1">
      <c r="A18" s="220" t="s">
        <v>88</v>
      </c>
      <c r="B18" s="220"/>
      <c r="C18" s="220"/>
      <c r="D18" s="220"/>
      <c r="E18" s="220"/>
    </row>
  </sheetData>
  <mergeCells count="3">
    <mergeCell ref="A1:E1"/>
    <mergeCell ref="A2:E2"/>
    <mergeCell ref="A18:E18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B13" sqref="B13:E13"/>
    </sheetView>
  </sheetViews>
  <sheetFormatPr defaultRowHeight="15"/>
  <cols>
    <col min="1" max="1" width="68.42578125" customWidth="1"/>
    <col min="2" max="2" width="15.85546875" customWidth="1"/>
    <col min="3" max="3" width="15.5703125" customWidth="1"/>
    <col min="4" max="4" width="15.140625" customWidth="1"/>
    <col min="5" max="5" width="15" customWidth="1"/>
  </cols>
  <sheetData>
    <row r="1" spans="1:5" ht="17.25">
      <c r="A1" s="215" t="s">
        <v>65</v>
      </c>
      <c r="B1" s="215"/>
      <c r="C1" s="215"/>
      <c r="D1" s="215"/>
      <c r="E1" s="215"/>
    </row>
    <row r="2" spans="1:5" ht="17.25" customHeight="1">
      <c r="A2" s="221" t="s">
        <v>137</v>
      </c>
      <c r="B2" s="221"/>
      <c r="C2" s="221"/>
      <c r="D2" s="221"/>
      <c r="E2" s="221"/>
    </row>
    <row r="3" spans="1:5">
      <c r="A3" s="44"/>
      <c r="B3" s="44"/>
      <c r="C3" s="44"/>
      <c r="D3" s="44"/>
    </row>
    <row r="4" spans="1:5" ht="17.25">
      <c r="A4" s="63"/>
      <c r="B4" s="53" t="s">
        <v>142</v>
      </c>
      <c r="C4" s="53" t="s">
        <v>138</v>
      </c>
      <c r="D4" s="53" t="s">
        <v>117</v>
      </c>
      <c r="E4" s="130" t="s">
        <v>125</v>
      </c>
    </row>
    <row r="5" spans="1:5" ht="24.75" customHeight="1">
      <c r="A5" s="95" t="s">
        <v>97</v>
      </c>
      <c r="B5" s="137">
        <v>338.86969499999998</v>
      </c>
      <c r="C5" s="193">
        <v>511.07928299999998</v>
      </c>
      <c r="D5" s="138">
        <v>549.73017000000004</v>
      </c>
      <c r="E5" s="135">
        <v>560.73916999999994</v>
      </c>
    </row>
    <row r="6" spans="1:5" ht="21.75" customHeight="1">
      <c r="A6" s="96" t="s">
        <v>98</v>
      </c>
      <c r="B6" s="111">
        <v>100</v>
      </c>
      <c r="C6" s="111">
        <v>100</v>
      </c>
      <c r="D6" s="111">
        <v>100</v>
      </c>
      <c r="E6" s="136">
        <v>100</v>
      </c>
    </row>
    <row r="7" spans="1:5" ht="17.25">
      <c r="A7" s="96" t="s">
        <v>73</v>
      </c>
      <c r="B7" s="92"/>
      <c r="C7" s="92"/>
      <c r="D7" s="92"/>
      <c r="E7" s="130"/>
    </row>
    <row r="8" spans="1:5" ht="17.25">
      <c r="A8" s="93" t="s">
        <v>99</v>
      </c>
      <c r="B8" s="139">
        <v>6.1970722994276599</v>
      </c>
      <c r="C8" s="140">
        <v>8.7827469226530894</v>
      </c>
      <c r="D8" s="141">
        <v>4.1224406512016598</v>
      </c>
      <c r="E8" s="130">
        <v>4.0627177873092002</v>
      </c>
    </row>
    <row r="9" spans="1:5" ht="17.25">
      <c r="A9" s="93" t="s">
        <v>100</v>
      </c>
      <c r="B9" s="139">
        <v>50.280977471296197</v>
      </c>
      <c r="C9" s="140">
        <v>44.257812539820797</v>
      </c>
      <c r="D9" s="141">
        <v>43.9065143541239</v>
      </c>
      <c r="E9" s="130">
        <v>45.345892101670003</v>
      </c>
    </row>
    <row r="10" spans="1:5" ht="17.25">
      <c r="A10" s="93" t="s">
        <v>101</v>
      </c>
      <c r="B10" s="139">
        <v>43.1864932625504</v>
      </c>
      <c r="C10" s="140">
        <v>46.500733233595</v>
      </c>
      <c r="D10" s="139">
        <v>51.394732619459504</v>
      </c>
      <c r="E10" s="130">
        <v>49.914610744956498</v>
      </c>
    </row>
    <row r="11" spans="1:5" ht="17.25">
      <c r="A11" s="93" t="s">
        <v>102</v>
      </c>
      <c r="B11" s="139">
        <v>0.33545696672580899</v>
      </c>
      <c r="C11" s="139">
        <v>0.45870730393115899</v>
      </c>
      <c r="D11" s="139">
        <v>0.57631237521491696</v>
      </c>
      <c r="E11" s="130">
        <v>0.67677936606426103</v>
      </c>
    </row>
    <row r="12" spans="1:5" ht="36" customHeight="1">
      <c r="A12" s="96" t="s">
        <v>103</v>
      </c>
      <c r="B12" s="114">
        <v>14.0325054696207</v>
      </c>
      <c r="C12" s="127">
        <v>13.413675475963901</v>
      </c>
      <c r="D12" s="113">
        <v>13.087737381830999</v>
      </c>
      <c r="E12" s="130">
        <v>12.87</v>
      </c>
    </row>
    <row r="13" spans="1:5" ht="22.5" customHeight="1">
      <c r="A13" s="96" t="s">
        <v>104</v>
      </c>
      <c r="B13" s="94">
        <v>1949.4976083535601</v>
      </c>
      <c r="C13" s="94">
        <v>2440.4411918258102</v>
      </c>
      <c r="D13" s="94">
        <v>2787.4616453650401</v>
      </c>
      <c r="E13" s="186">
        <v>3090.30723854194</v>
      </c>
    </row>
    <row r="14" spans="1:5">
      <c r="A14" s="44"/>
      <c r="B14" s="44"/>
      <c r="C14" s="44"/>
      <c r="D14" s="44"/>
    </row>
    <row r="15" spans="1:5" ht="33.75" customHeight="1">
      <c r="A15" s="220" t="s">
        <v>88</v>
      </c>
      <c r="B15" s="220"/>
      <c r="C15" s="220"/>
      <c r="D15" s="220"/>
      <c r="E15" s="220"/>
    </row>
  </sheetData>
  <mergeCells count="3">
    <mergeCell ref="A2:E2"/>
    <mergeCell ref="A15:E15"/>
    <mergeCell ref="A1:E1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B5" sqref="B5:E5"/>
    </sheetView>
  </sheetViews>
  <sheetFormatPr defaultRowHeight="15"/>
  <cols>
    <col min="1" max="1" width="56.5703125" customWidth="1"/>
    <col min="2" max="2" width="17.28515625" customWidth="1"/>
    <col min="3" max="3" width="16.85546875" customWidth="1"/>
    <col min="4" max="4" width="16.140625" customWidth="1"/>
    <col min="5" max="5" width="16.7109375" customWidth="1"/>
  </cols>
  <sheetData>
    <row r="1" spans="1:5" ht="17.25">
      <c r="A1" s="215" t="s">
        <v>65</v>
      </c>
      <c r="B1" s="215"/>
      <c r="C1" s="215"/>
      <c r="D1" s="215"/>
      <c r="E1" s="215"/>
    </row>
    <row r="2" spans="1:5" ht="37.5" customHeight="1">
      <c r="A2" s="221" t="s">
        <v>141</v>
      </c>
      <c r="B2" s="221"/>
      <c r="C2" s="221"/>
      <c r="D2" s="221"/>
      <c r="E2" s="221"/>
    </row>
    <row r="3" spans="1:5" ht="17.25">
      <c r="A3" s="45"/>
      <c r="B3" s="45"/>
      <c r="C3" s="45"/>
      <c r="D3" s="45"/>
    </row>
    <row r="4" spans="1:5" ht="17.25">
      <c r="A4" s="63"/>
      <c r="B4" s="67" t="s">
        <v>142</v>
      </c>
      <c r="C4" s="67" t="s">
        <v>138</v>
      </c>
      <c r="D4" s="67" t="s">
        <v>117</v>
      </c>
      <c r="E4" s="134" t="s">
        <v>125</v>
      </c>
    </row>
    <row r="5" spans="1:5" ht="34.5">
      <c r="A5" s="97" t="s">
        <v>105</v>
      </c>
      <c r="B5" s="112">
        <v>3000.9942050138302</v>
      </c>
      <c r="C5" s="112">
        <v>3414.7717273028202</v>
      </c>
      <c r="D5" s="112">
        <v>4021.0232631182698</v>
      </c>
      <c r="E5" s="135">
        <v>4090.4801161400001</v>
      </c>
    </row>
    <row r="6" spans="1:5" ht="17.25">
      <c r="A6" s="98" t="s">
        <v>106</v>
      </c>
      <c r="B6" s="109">
        <v>100</v>
      </c>
      <c r="C6" s="109">
        <v>100</v>
      </c>
      <c r="D6" s="109">
        <v>100</v>
      </c>
      <c r="E6" s="130">
        <v>100</v>
      </c>
    </row>
    <row r="7" spans="1:5" ht="17.25">
      <c r="A7" s="101" t="s">
        <v>73</v>
      </c>
      <c r="B7" s="67"/>
      <c r="C7" s="99"/>
      <c r="D7" s="100"/>
      <c r="E7" s="130"/>
    </row>
    <row r="8" spans="1:5" ht="17.25">
      <c r="A8" s="102" t="s">
        <v>107</v>
      </c>
      <c r="B8" s="103">
        <v>84.415270895886806</v>
      </c>
      <c r="C8" s="99">
        <v>83.294775368579096</v>
      </c>
      <c r="D8" s="103">
        <v>78.766588519272602</v>
      </c>
      <c r="E8" s="130">
        <v>78.4064277571037</v>
      </c>
    </row>
    <row r="9" spans="1:5" ht="17.25">
      <c r="A9" s="102" t="s">
        <v>108</v>
      </c>
      <c r="B9" s="103">
        <v>14.789485137163</v>
      </c>
      <c r="C9" s="104">
        <v>16.041862424814699</v>
      </c>
      <c r="D9" s="103">
        <v>20.622226256783001</v>
      </c>
      <c r="E9" s="130">
        <v>20.978586117410899</v>
      </c>
    </row>
    <row r="10" spans="1:5" ht="17.25">
      <c r="A10" s="102" t="s">
        <v>109</v>
      </c>
      <c r="B10" s="103">
        <v>0.79524396695013899</v>
      </c>
      <c r="C10" s="105">
        <v>0.66336220660614498</v>
      </c>
      <c r="D10" s="103">
        <v>0.61118522394436203</v>
      </c>
      <c r="E10" s="130">
        <v>0.61498612548539799</v>
      </c>
    </row>
    <row r="11" spans="1:5" ht="17.25">
      <c r="A11" s="98" t="s">
        <v>110</v>
      </c>
      <c r="B11" s="110">
        <v>100</v>
      </c>
      <c r="C11" s="110">
        <v>100</v>
      </c>
      <c r="D11" s="110">
        <v>100</v>
      </c>
      <c r="E11" s="130">
        <v>100</v>
      </c>
    </row>
    <row r="12" spans="1:5" ht="17.25">
      <c r="A12" s="101" t="s">
        <v>73</v>
      </c>
      <c r="B12" s="67"/>
      <c r="C12" s="106"/>
      <c r="D12" s="107"/>
      <c r="E12" s="130"/>
    </row>
    <row r="13" spans="1:5" ht="17.25">
      <c r="A13" s="108" t="s">
        <v>111</v>
      </c>
      <c r="B13" s="103">
        <v>24.4539321809321</v>
      </c>
      <c r="C13" s="106">
        <v>33.759644943949503</v>
      </c>
      <c r="D13" s="103">
        <v>39.4080879324652</v>
      </c>
      <c r="E13" s="130">
        <v>39.102682125230899</v>
      </c>
    </row>
    <row r="14" spans="1:5" ht="17.25">
      <c r="A14" s="108" t="s">
        <v>112</v>
      </c>
      <c r="B14" s="103">
        <v>55.503262361594402</v>
      </c>
      <c r="C14" s="106">
        <v>46.699683774489699</v>
      </c>
      <c r="D14" s="103">
        <v>40.707650179879103</v>
      </c>
      <c r="E14" s="130">
        <v>40.464727636714201</v>
      </c>
    </row>
    <row r="15" spans="1:5" ht="17.25">
      <c r="A15" s="108" t="s">
        <v>113</v>
      </c>
      <c r="B15" s="103">
        <v>10.6694256012357</v>
      </c>
      <c r="C15" s="106">
        <v>11.4669681932329</v>
      </c>
      <c r="D15" s="103">
        <v>13.2140462039815</v>
      </c>
      <c r="E15" s="130">
        <v>13.628113479159101</v>
      </c>
    </row>
    <row r="16" spans="1:5" ht="17.25">
      <c r="A16" s="108" t="s">
        <v>114</v>
      </c>
      <c r="B16" s="103">
        <v>8.4675678361392492</v>
      </c>
      <c r="C16" s="106">
        <v>7.2198242392432297</v>
      </c>
      <c r="D16" s="103">
        <v>5.9311905336050801</v>
      </c>
      <c r="E16" s="130">
        <v>6.0552955723382</v>
      </c>
    </row>
    <row r="17" spans="1:5" ht="17.25">
      <c r="A17" s="108" t="s">
        <v>115</v>
      </c>
      <c r="B17" s="103">
        <v>0.226204101872405</v>
      </c>
      <c r="C17" s="106">
        <v>0.19309901079634001</v>
      </c>
      <c r="D17" s="103">
        <v>0.14739461506047299</v>
      </c>
      <c r="E17" s="130">
        <v>0.14489174942116101</v>
      </c>
    </row>
    <row r="18" spans="1:5" ht="17.25">
      <c r="A18" s="108" t="s">
        <v>116</v>
      </c>
      <c r="B18" s="103">
        <v>0.67960791822621702</v>
      </c>
      <c r="C18" s="106">
        <v>0.66077983828838405</v>
      </c>
      <c r="D18" s="103">
        <v>0.59163053500867802</v>
      </c>
      <c r="E18" s="130">
        <v>0.60428943713643002</v>
      </c>
    </row>
    <row r="20" spans="1:5" ht="28.5" customHeight="1">
      <c r="A20" s="217" t="s">
        <v>41</v>
      </c>
      <c r="B20" s="217"/>
      <c r="C20" s="217"/>
      <c r="D20" s="217"/>
      <c r="E20" s="217"/>
    </row>
  </sheetData>
  <mergeCells count="3">
    <mergeCell ref="A2:E2"/>
    <mergeCell ref="A1:E1"/>
    <mergeCell ref="A20:E2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</vt:vector>
  </TitlesOfParts>
  <Company>parliament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2018-03-21T06:10:49Z</cp:lastPrinted>
  <dcterms:created xsi:type="dcterms:W3CDTF">2016-03-11T11:20:21Z</dcterms:created>
  <dcterms:modified xsi:type="dcterms:W3CDTF">2018-05-25T12:21:23Z</dcterms:modified>
</cp:coreProperties>
</file>