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<sst xmlns="http://schemas.openxmlformats.org/spreadsheetml/2006/main" count="185" uniqueCount="81">
  <si>
    <t>Արտաքին առևտրաշրջանառության ծավալը, մլն ԱՄՆ դոլար</t>
  </si>
  <si>
    <t>x</t>
  </si>
  <si>
    <t>Տնտեսական ակտիվության ցուցանիշը (ՏԱՑ)</t>
  </si>
  <si>
    <t>Արդյունաբերական արտադրանքի ծավալը, ընթացիկ գներով, մլն դրամ</t>
  </si>
  <si>
    <t>Իրականացված շինարարության ծավալը, ընթացիկ գներով, մլն դրամ</t>
  </si>
  <si>
    <t>Ուղևորափոխադրումների ծավալն ըստ ընդհանուր օգտագործման տրանսպորտի տեսակների, հազար մարդ</t>
  </si>
  <si>
    <t>Հեռուստառադիոծրագրերի կազմման և հեռարձակման, հեռահաղորդակցության գործունեությունից ստացված հասույթը, մլն դրամ</t>
  </si>
  <si>
    <t>Առևտրի շրջանառությունը, ընդամենը, մլն դրամ (ընթացիկ գներով)</t>
  </si>
  <si>
    <t>Առևտրի հաշվեկշիռ, մլն ԱՄՆ դոլար</t>
  </si>
  <si>
    <t>Փողի բազա, մլն. դրամ</t>
  </si>
  <si>
    <t>Արտարժութային փոխարժեքներ, ՀՀ դրամ</t>
  </si>
  <si>
    <t>I ԻՐԱԿԱՆ ՀԱՏՎԱԾ</t>
  </si>
  <si>
    <t>II ԳՆԵՐԻ ԻՆԴԵՔՍՆԵՐ ԵՎ ԳՆԱՃ</t>
  </si>
  <si>
    <t>III ԱՐՏԱՔԻՆ ՀԱՏՎԱԾ</t>
  </si>
  <si>
    <t>IV ԱՇԽԱՏԱՆՔԻ ՇՈՒԿԱ</t>
  </si>
  <si>
    <t>Այլ ծառայություններ, մլն դրամ (ընթացիկ գներով)</t>
  </si>
  <si>
    <t xml:space="preserve">Սպառողական գների ինդեքսը </t>
  </si>
  <si>
    <t xml:space="preserve">  պետական հատված, դրամ</t>
  </si>
  <si>
    <t xml:space="preserve">  ոչ պետական հատված, դրամ</t>
  </si>
  <si>
    <t xml:space="preserve">     նախորդ տարվա նույն ամսվա նկատմամբ, %</t>
  </si>
  <si>
    <t>Գյուղատնտեսության համախառն արտադրանքը, ընթացիկ գներով, մլն դրամ</t>
  </si>
  <si>
    <t>V ԴՐԱՄԱՎԱՐԿԱՅԻՆ ՀԻՄՆԱԿԱՆ ՑՈՒՑԱՆԻՇՆԵՐ</t>
  </si>
  <si>
    <t>2015թ.</t>
  </si>
  <si>
    <t>2016թ.</t>
  </si>
  <si>
    <t xml:space="preserve">     1 ԱՄՆ դոլար (միջինը)</t>
  </si>
  <si>
    <t xml:space="preserve">     1 ԵՎՐՈ (միջինը)</t>
  </si>
  <si>
    <t xml:space="preserve">     1 ՌՌ (միջինը)</t>
  </si>
  <si>
    <t xml:space="preserve">     նախորդ տարվա նույն ժամանակաշրջանի նկատմամբ, %</t>
  </si>
  <si>
    <t xml:space="preserve">     ժամանակաշրջանի վերջին ամիսը նախորդ տարվա նույն ամսվա նկատմամբ, %</t>
  </si>
  <si>
    <t>Զուտ միջազգային պահուստներ (ԶՄՊ), ժամանակաշրջանի վերջի դրությամբ, մլն. դրամ</t>
  </si>
  <si>
    <t>Զուտ ներքին ակտիվներ, ժամանակաշրջանի վերջի դրությամբ, մլն. դրամ</t>
  </si>
  <si>
    <t xml:space="preserve">     %-ային փոփոխությունները ժամանակաշրջանի վերջին ամսվան նախորդող ամսվա նկատմամբ</t>
  </si>
  <si>
    <t>Առևտրային բանկերի գործառնությունների տոկոսադրույքները ժամանակաշրջանի վերջին ամսվա դրությամբ, %</t>
  </si>
  <si>
    <t>ՀՀ կենտրոնական բանկի ռեպո գործառնությունների տոկոսադրույքները ժամանակաշրջանի վերջին ամսվա դրությամբ, %</t>
  </si>
  <si>
    <t>Աշխատանք փնտրողներ, ընդամենը ժամանակաշրջանի վերջին ամսվա դրությամբ, մարդ</t>
  </si>
  <si>
    <t>Պաշտոնապես գրանցված գործազուրկների միջին ամսական թվաքանակը, ընդամենը ժամանակաշրջանի վերջին ամսվա դրությամբ, մարդ</t>
  </si>
  <si>
    <t xml:space="preserve">     ժամանակաշրջանի վերջին ամիսը նախորդ տարվա դեկտեմբերի նկատմամբ, %</t>
  </si>
  <si>
    <t>2017թ.</t>
  </si>
  <si>
    <t>հունվար</t>
  </si>
  <si>
    <t>ՀՀ բանկերի միջոցով ֆիզիկական անձանց անունով արտերկրից ստացված և ՀՀ-ից ֆիզիկական անձանց կողմից արտերկիր իրականացված փոխանցումներ (հազ. դոլար)</t>
  </si>
  <si>
    <t>Ներհոսք,  այդ թվում`</t>
  </si>
  <si>
    <t xml:space="preserve">           Ռուսաստանի Դաշնություն</t>
  </si>
  <si>
    <t xml:space="preserve">            ԱՄՆ</t>
  </si>
  <si>
    <t xml:space="preserve"> Արտահոսք,  այդ թվում`</t>
  </si>
  <si>
    <t>Զուտ Ներհոսք,  այդ թվում`</t>
  </si>
  <si>
    <t>ՀՀ բանկերի միջոցով ֆիզիկական անձանց անունով արտերկրից ստացված և ՀՀ-ից ֆիզիկական անձանց կողմից արտերկիր իրականացված փոխանցումներ (մլն ՀՀ դրամ)</t>
  </si>
  <si>
    <t>Ներհոսք, այդ թվում`</t>
  </si>
  <si>
    <r>
      <t xml:space="preserve">     </t>
    </r>
    <r>
      <rPr>
        <i/>
        <sz val="10"/>
        <color indexed="8"/>
        <rFont val="GHEA Grapalat"/>
        <family val="3"/>
      </rPr>
      <t>նախորդ տարվա նույն ժամանակաշրջանի նկատմամբ, %</t>
    </r>
  </si>
  <si>
    <r>
      <t xml:space="preserve">     </t>
    </r>
    <r>
      <rPr>
        <i/>
        <sz val="10"/>
        <color indexed="8"/>
        <rFont val="GHEA Grapalat"/>
        <family val="3"/>
      </rPr>
      <t>ժամանակաշրջանի վերջին ամիսը</t>
    </r>
    <r>
      <rPr>
        <sz val="10"/>
        <color indexed="8"/>
        <rFont val="GHEA Grapalat"/>
        <family val="3"/>
      </rPr>
      <t xml:space="preserve"> </t>
    </r>
    <r>
      <rPr>
        <i/>
        <sz val="10"/>
        <color indexed="8"/>
        <rFont val="GHEA Grapalat"/>
        <family val="3"/>
      </rPr>
      <t>նախորդ ամսվա նկատմամբ,%</t>
    </r>
  </si>
  <si>
    <r>
      <t xml:space="preserve">    </t>
    </r>
    <r>
      <rPr>
        <i/>
        <sz val="10"/>
        <color indexed="8"/>
        <rFont val="GHEA Grapalat"/>
        <family val="3"/>
      </rPr>
      <t xml:space="preserve"> նախորդ տարվա նույն ժամանակաշրջանի նկատմամբ (իրական աճը, %)</t>
    </r>
  </si>
  <si>
    <r>
      <t xml:space="preserve">     </t>
    </r>
    <r>
      <rPr>
        <i/>
        <sz val="10"/>
        <color indexed="8"/>
        <rFont val="GHEA Grapalat"/>
        <family val="3"/>
      </rPr>
      <t>ժամանակաշրջանի վերջին ամիսը նախորդ ամսվա նկատմամբ (իրական աճը, %)</t>
    </r>
  </si>
  <si>
    <r>
      <t xml:space="preserve">     </t>
    </r>
    <r>
      <rPr>
        <i/>
        <sz val="10"/>
        <color indexed="8"/>
        <rFont val="GHEA Grapalat"/>
        <family val="3"/>
      </rPr>
      <t>նախորդ տարվա նույն ժամանակաշրջանի նկատմամբ (իրական աճը, %)</t>
    </r>
  </si>
  <si>
    <r>
      <t xml:space="preserve">     </t>
    </r>
    <r>
      <rPr>
        <i/>
        <sz val="10"/>
        <color indexed="8"/>
        <rFont val="GHEA Grapalat"/>
        <family val="3"/>
      </rPr>
      <t>ժամանակաշրջանի վերջին ամիսը նախորդ ամսվա նկատմամբ, %</t>
    </r>
  </si>
  <si>
    <r>
      <t xml:space="preserve">     </t>
    </r>
    <r>
      <rPr>
        <i/>
        <sz val="10"/>
        <color indexed="8"/>
        <rFont val="GHEA Grapalat"/>
        <family val="3"/>
      </rPr>
      <t xml:space="preserve"> նախորդ տարվա նույն ժամանակաշրջանի նկատմամբ, %</t>
    </r>
  </si>
  <si>
    <r>
      <t xml:space="preserve">     </t>
    </r>
    <r>
      <rPr>
        <i/>
        <sz val="10"/>
        <color indexed="8"/>
        <rFont val="GHEA Grapalat"/>
        <family val="3"/>
      </rPr>
      <t>ժամանակաշրջանի վերջին ամիսը</t>
    </r>
    <r>
      <rPr>
        <sz val="10"/>
        <color indexed="8"/>
        <rFont val="GHEA Grapalat"/>
        <family val="3"/>
      </rPr>
      <t xml:space="preserve"> </t>
    </r>
    <r>
      <rPr>
        <i/>
        <sz val="10"/>
        <color indexed="8"/>
        <rFont val="GHEA Grapalat"/>
        <family val="3"/>
      </rPr>
      <t>նախորդ տարվա նկատմամբ, %</t>
    </r>
  </si>
  <si>
    <r>
      <t xml:space="preserve">    </t>
    </r>
    <r>
      <rPr>
        <i/>
        <sz val="10"/>
        <color indexed="8"/>
        <rFont val="GHEA Grapalat"/>
        <family val="3"/>
      </rPr>
      <t xml:space="preserve"> նախորդ տարվա նույն ամսվա նկատմամբ, %</t>
    </r>
  </si>
  <si>
    <r>
      <t xml:space="preserve">    </t>
    </r>
    <r>
      <rPr>
        <i/>
        <sz val="10"/>
        <color indexed="8"/>
        <rFont val="GHEA Grapalat"/>
        <family val="3"/>
      </rPr>
      <t xml:space="preserve"> նրանցից` գործազուրկներ, ընդամենը, մարդ</t>
    </r>
  </si>
  <si>
    <r>
      <t xml:space="preserve">     </t>
    </r>
    <r>
      <rPr>
        <i/>
        <sz val="10"/>
        <color indexed="8"/>
        <rFont val="GHEA Grapalat"/>
        <family val="3"/>
      </rPr>
      <t>նախորդ տարվա նույն ամսվա նկատմամբ, %</t>
    </r>
  </si>
  <si>
    <r>
      <t xml:space="preserve">     </t>
    </r>
    <r>
      <rPr>
        <i/>
        <sz val="10"/>
        <color indexed="8"/>
        <rFont val="GHEA Grapalat"/>
        <family val="3"/>
      </rPr>
      <t>վարկեր, %</t>
    </r>
  </si>
  <si>
    <r>
      <t xml:space="preserve">     </t>
    </r>
    <r>
      <rPr>
        <i/>
        <sz val="10"/>
        <color indexed="8"/>
        <rFont val="GHEA Grapalat"/>
        <family val="3"/>
      </rPr>
      <t>ավանդներ, %</t>
    </r>
  </si>
  <si>
    <t xml:space="preserve">                                     ՏԵՂԵԿԱՆՔ</t>
  </si>
  <si>
    <t>Միջին ամսական անվանական աշխատավարձը ժամանակաշրջանի վերջին ամսվա դրությամբ, դրամ</t>
  </si>
  <si>
    <t>Աղբյուրը՝ Հայաստանի Հանրապետության Կենտրոնական բանկի ինտերնետային կայքի վիճակագրություն բաժնի հրապարակումներ` ՀՀ բանկերի միջոցով ֆիզիկական անձանց անունով արտերկրից ստացված և ՀՀ–ից ֆիզիկական անձանց կողմից արտերկիր իրականացված փոխանցումներ:</t>
  </si>
  <si>
    <t>Բեռնափոխադրումների ծավալը, հազ. տոննա</t>
  </si>
  <si>
    <t>VI ՀԱՐԿԱԲՅՈՒՋԵՏԱՅԻՆ ՑՈՒՑԱՆԻՇՆԵՐ</t>
  </si>
  <si>
    <t>Պետական բյուջեի եկամուտներ, ընթացիկ գներով, մլն. դրամ</t>
  </si>
  <si>
    <t>Պետական բյուջեի ծախսեր, ընթացիկ գներով, մլն. դրամ</t>
  </si>
  <si>
    <t>Պակասուրդ (-)/հավելուրդ (+), ընթացիկ գներով, մլն. դրամ</t>
  </si>
  <si>
    <t xml:space="preserve">  ֆինանսավորում</t>
  </si>
  <si>
    <t xml:space="preserve">    ֆինանսավորման ներքին աղբյուրներ</t>
  </si>
  <si>
    <t xml:space="preserve">    ֆինանսավորման արտաքին աղբյուրներ</t>
  </si>
  <si>
    <t>2018թ.</t>
  </si>
  <si>
    <t>Աղբյուրը՝ Հայաստանի Հանրապետության ազգային վիճակագրական ծառայության ինտերնետային կայքի հրապարակումները` ՀՀ սոցիալ-տնտեսական վիճակի վերաբերյալ ամսեկան տեղեկագրերը:</t>
  </si>
  <si>
    <t>հունվար-փետրվար</t>
  </si>
  <si>
    <t xml:space="preserve">2018թ. </t>
  </si>
  <si>
    <t xml:space="preserve">     ժամանակաշրջանի վերջին ամիսը նախորդ ամսվա նկատմամբ, %</t>
  </si>
  <si>
    <t xml:space="preserve">  ՀՀ տնտեսությունը բնութագրող հիմնական մակրոտնտեսական ցուցանիշների վերաբերյալ (հունվար-փետրվար)</t>
  </si>
  <si>
    <t>*ապրանքի արժեքը մինչև ՀՀ սահման (Free On Board)</t>
  </si>
  <si>
    <t>**ապրանքի արժեքը, ներառյալ նաև տվյալ ապրանքի փոխադրման համար կատարված տրանսպորտային ծախսերը և ապահովագրական վճարները (cost, insurance, freight)</t>
  </si>
  <si>
    <t>Արտահանում (ՖՕԲ* գներով), մլն ԱՄՆ դոլար</t>
  </si>
  <si>
    <t>Ներմուծում (ՍԻՖ** գներով), մլն ԱՄՆ դոլար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</si>
</sst>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;[Red]0.00"/>
    <numFmt numFmtId="166" formatCode="0.0;[Red]0.0"/>
    <numFmt numFmtId="167" formatCode="0.0"/>
    <numFmt numFmtId="168" formatCode="_(* #,##0.0_);_(* \(#,##0.0\);_(* &quot;-&quot;??_);_(@_)"/>
    <numFmt numFmtId="169" formatCode="#,##0.0;[Red]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;[Red]#,##0.00"/>
    <numFmt numFmtId="175" formatCode="#,##0.000"/>
    <numFmt numFmtId="176" formatCode="0.000"/>
    <numFmt numFmtId="177" formatCode="_(* #,##0_);_(* \(#,##0\);_(* &quot;-&quot;??_);_(@_)"/>
    <numFmt numFmtId="178" formatCode="dd/mm/yyyy"/>
    <numFmt numFmtId="179" formatCode="_(* #,##0.000_);_(* \(#,##0.000\);_(* &quot;-&quot;??_);_(@_)"/>
    <numFmt numFmtId="180" formatCode="0.00_);\(0.00\)"/>
    <numFmt numFmtId="181" formatCode="0;[Red]0"/>
    <numFmt numFmtId="182" formatCode="0.000;[Red]0.000"/>
    <numFmt numFmtId="183" formatCode="#,##0;[Red]#,##0"/>
    <numFmt numFmtId="184" formatCode="0.0_);\(0.0\)"/>
    <numFmt numFmtId="185" formatCode="0_);\(0\)"/>
    <numFmt numFmtId="186" formatCode="#,##0.0_);\(#,##0.0\)"/>
    <numFmt numFmtId="187" formatCode="#,##0.00000000"/>
    <numFmt numFmtId="188" formatCode="#,##0.0000000000"/>
    <numFmt numFmtId="189" formatCode="#,##0.00000"/>
    <numFmt numFmtId="190" formatCode="#,##0.00000000000"/>
    <numFmt numFmtId="191" formatCode="#,##0.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GHEA Grapalat"/>
      <family val="3"/>
    </font>
    <font>
      <sz val="10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center" vertical="center" wrapText="1"/>
    </xf>
    <xf numFmtId="2" fontId="45" fillId="35" borderId="10" xfId="0" applyNumberFormat="1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3" fillId="34" borderId="10" xfId="0" applyFont="1" applyFill="1" applyBorder="1" applyAlignment="1">
      <alignment horizontal="justify" wrapText="1"/>
    </xf>
    <xf numFmtId="0" fontId="43" fillId="0" borderId="10" xfId="0" applyFont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0" fontId="5" fillId="36" borderId="10" xfId="56" applyNumberFormat="1" applyFont="1" applyFill="1" applyBorder="1" applyAlignment="1">
      <alignment vertical="center" wrapText="1"/>
      <protection/>
    </xf>
    <xf numFmtId="0" fontId="3" fillId="0" borderId="10" xfId="56" applyNumberFormat="1" applyFont="1" applyBorder="1" applyAlignment="1">
      <alignment wrapText="1"/>
      <protection/>
    </xf>
    <xf numFmtId="164" fontId="43" fillId="34" borderId="10" xfId="42" applyNumberFormat="1" applyFont="1" applyFill="1" applyBorder="1" applyAlignment="1">
      <alignment horizontal="center" vertical="center" wrapText="1"/>
    </xf>
    <xf numFmtId="167" fontId="45" fillId="35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/>
    </xf>
    <xf numFmtId="174" fontId="3" fillId="0" borderId="10" xfId="42" applyNumberFormat="1" applyFont="1" applyBorder="1" applyAlignment="1">
      <alignment horizontal="center" vertical="center" wrapText="1"/>
    </xf>
    <xf numFmtId="174" fontId="5" fillId="36" borderId="10" xfId="42" applyNumberFormat="1" applyFont="1" applyFill="1" applyBorder="1" applyAlignment="1">
      <alignment horizontal="center" vertical="center" wrapText="1"/>
    </xf>
    <xf numFmtId="166" fontId="45" fillId="35" borderId="10" xfId="0" applyNumberFormat="1" applyFont="1" applyFill="1" applyBorder="1" applyAlignment="1">
      <alignment horizontal="center" vertical="center" wrapText="1"/>
    </xf>
    <xf numFmtId="169" fontId="43" fillId="34" borderId="10" xfId="42" applyNumberFormat="1" applyFont="1" applyFill="1" applyBorder="1" applyAlignment="1">
      <alignment horizontal="center" vertical="center" wrapText="1"/>
    </xf>
    <xf numFmtId="166" fontId="45" fillId="35" borderId="1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justify"/>
    </xf>
    <xf numFmtId="0" fontId="43" fillId="34" borderId="10" xfId="0" applyFont="1" applyFill="1" applyBorder="1" applyAlignment="1">
      <alignment horizontal="center" vertical="center" wrapText="1"/>
    </xf>
    <xf numFmtId="39" fontId="43" fillId="0" borderId="10" xfId="42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4" fillId="36" borderId="10" xfId="0" applyNumberFormat="1" applyFont="1" applyFill="1" applyBorder="1" applyAlignment="1">
      <alignment horizontal="center" vertical="center" wrapText="1"/>
    </xf>
    <xf numFmtId="4" fontId="5" fillId="36" borderId="10" xfId="56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/>
    </xf>
    <xf numFmtId="2" fontId="43" fillId="0" borderId="15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 wrapText="1"/>
    </xf>
    <xf numFmtId="2" fontId="44" fillId="33" borderId="15" xfId="0" applyNumberFormat="1" applyFont="1" applyFill="1" applyBorder="1" applyAlignment="1">
      <alignment horizontal="center" vertical="center" wrapText="1"/>
    </xf>
    <xf numFmtId="2" fontId="43" fillId="34" borderId="15" xfId="0" applyNumberFormat="1" applyFont="1" applyFill="1" applyBorder="1" applyAlignment="1">
      <alignment horizontal="center" vertical="center" wrapText="1"/>
    </xf>
    <xf numFmtId="174" fontId="3" fillId="0" borderId="15" xfId="42" applyNumberFormat="1" applyFont="1" applyBorder="1" applyAlignment="1">
      <alignment horizontal="center" vertical="center" wrapText="1"/>
    </xf>
    <xf numFmtId="174" fontId="5" fillId="36" borderId="15" xfId="42" applyNumberFormat="1" applyFont="1" applyFill="1" applyBorder="1" applyAlignment="1">
      <alignment horizontal="center" vertical="center" wrapText="1"/>
    </xf>
    <xf numFmtId="39" fontId="3" fillId="0" borderId="16" xfId="44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4" fontId="3" fillId="0" borderId="10" xfId="42" applyNumberFormat="1" applyFont="1" applyBorder="1" applyAlignment="1">
      <alignment horizontal="center" vertical="center" wrapText="1"/>
    </xf>
    <xf numFmtId="169" fontId="3" fillId="34" borderId="10" xfId="42" applyNumberFormat="1" applyFont="1" applyFill="1" applyBorder="1" applyAlignment="1">
      <alignment horizontal="center" vertical="center" wrapText="1"/>
    </xf>
    <xf numFmtId="169" fontId="45" fillId="35" borderId="10" xfId="0" applyNumberFormat="1" applyFont="1" applyFill="1" applyBorder="1" applyAlignment="1">
      <alignment horizontal="center" vertical="center" wrapText="1"/>
    </xf>
    <xf numFmtId="169" fontId="45" fillId="35" borderId="10" xfId="42" applyNumberFormat="1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164" fontId="43" fillId="34" borderId="10" xfId="0" applyNumberFormat="1" applyFont="1" applyFill="1" applyBorder="1" applyAlignment="1">
      <alignment horizontal="center" vertical="center" wrapText="1"/>
    </xf>
    <xf numFmtId="169" fontId="43" fillId="0" borderId="10" xfId="42" applyNumberFormat="1" applyFont="1" applyBorder="1" applyAlignment="1">
      <alignment horizontal="center" vertical="center" wrapText="1"/>
    </xf>
    <xf numFmtId="169" fontId="43" fillId="35" borderId="10" xfId="42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7" fontId="45" fillId="0" borderId="10" xfId="0" applyNumberFormat="1" applyFont="1" applyBorder="1" applyAlignment="1">
      <alignment horizontal="center" vertical="center" wrapText="1"/>
    </xf>
    <xf numFmtId="169" fontId="45" fillId="0" borderId="10" xfId="42" applyNumberFormat="1" applyFont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186" fontId="43" fillId="35" borderId="10" xfId="42" applyNumberFormat="1" applyFont="1" applyFill="1" applyBorder="1" applyAlignment="1">
      <alignment horizontal="center" vertical="center" wrapText="1"/>
    </xf>
    <xf numFmtId="186" fontId="43" fillId="0" borderId="10" xfId="42" applyNumberFormat="1" applyFont="1" applyBorder="1" applyAlignment="1">
      <alignment horizontal="center" vertical="center" wrapText="1"/>
    </xf>
    <xf numFmtId="186" fontId="45" fillId="0" borderId="10" xfId="42" applyNumberFormat="1" applyFont="1" applyBorder="1" applyAlignment="1">
      <alignment horizontal="center" vertical="center" wrapText="1"/>
    </xf>
    <xf numFmtId="174" fontId="43" fillId="0" borderId="10" xfId="0" applyNumberFormat="1" applyFont="1" applyBorder="1" applyAlignment="1">
      <alignment horizontal="center"/>
    </xf>
    <xf numFmtId="39" fontId="43" fillId="0" borderId="10" xfId="0" applyNumberFormat="1" applyFont="1" applyBorder="1" applyAlignment="1">
      <alignment horizontal="center"/>
    </xf>
    <xf numFmtId="39" fontId="3" fillId="0" borderId="10" xfId="44" applyNumberFormat="1" applyFont="1" applyBorder="1" applyAlignment="1">
      <alignment horizontal="center"/>
    </xf>
    <xf numFmtId="183" fontId="3" fillId="0" borderId="10" xfId="42" applyNumberFormat="1" applyFont="1" applyBorder="1" applyAlignment="1">
      <alignment horizontal="center"/>
    </xf>
    <xf numFmtId="183" fontId="43" fillId="0" borderId="10" xfId="0" applyNumberFormat="1" applyFont="1" applyBorder="1" applyAlignment="1">
      <alignment horizontal="center"/>
    </xf>
    <xf numFmtId="167" fontId="43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67" fontId="45" fillId="34" borderId="10" xfId="0" applyNumberFormat="1" applyFont="1" applyFill="1" applyBorder="1" applyAlignment="1">
      <alignment horizontal="center" vertical="center" wrapText="1"/>
    </xf>
    <xf numFmtId="175" fontId="44" fillId="36" borderId="10" xfId="0" applyNumberFormat="1" applyFont="1" applyFill="1" applyBorder="1" applyAlignment="1">
      <alignment horizontal="center" vertical="center" wrapText="1"/>
    </xf>
    <xf numFmtId="174" fontId="44" fillId="36" borderId="10" xfId="0" applyNumberFormat="1" applyFont="1" applyFill="1" applyBorder="1" applyAlignment="1">
      <alignment horizontal="center"/>
    </xf>
    <xf numFmtId="4" fontId="44" fillId="36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4" fillId="33" borderId="15" xfId="0" applyFont="1" applyFill="1" applyBorder="1" applyAlignment="1">
      <alignment horizontal="center" wrapText="1"/>
    </xf>
    <xf numFmtId="0" fontId="44" fillId="33" borderId="17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8" fillId="0" borderId="19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Downloads\5.%20Money%20transfers%20of%20individuals_arm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ամսական"/>
      <sheetName val="տարեկան"/>
      <sheetName val="մեթոդաբան."/>
    </sheetNames>
    <sheetDataSet>
      <sheetData sheetId="0">
        <row r="5">
          <cell r="EE5">
            <v>87505.0647541156</v>
          </cell>
          <cell r="EQ5">
            <v>102770.73249774356</v>
          </cell>
          <cell r="FC5">
            <v>101145.32208986729</v>
          </cell>
          <cell r="FO5">
            <v>126527.27654398058</v>
          </cell>
        </row>
        <row r="7">
          <cell r="EE7">
            <v>49635.00517215606</v>
          </cell>
          <cell r="EQ7">
            <v>45253.171167292356</v>
          </cell>
          <cell r="FC7">
            <v>57234.55422121045</v>
          </cell>
          <cell r="FO7">
            <v>68781.677744569</v>
          </cell>
        </row>
        <row r="8">
          <cell r="EE8">
            <v>12324.330576925275</v>
          </cell>
          <cell r="EQ8">
            <v>13670.349321207977</v>
          </cell>
          <cell r="FC8">
            <v>12085.620269003379</v>
          </cell>
          <cell r="FO8">
            <v>14525.08506234132</v>
          </cell>
        </row>
        <row r="9">
          <cell r="EE9">
            <v>59965.159838535226</v>
          </cell>
          <cell r="EQ9">
            <v>68232.82476446411</v>
          </cell>
          <cell r="FC9">
            <v>66350.87900353846</v>
          </cell>
          <cell r="FO9">
            <v>99178.45220015658</v>
          </cell>
        </row>
        <row r="11">
          <cell r="EE11">
            <v>21908.583080453893</v>
          </cell>
          <cell r="EQ11">
            <v>33199.63814015974</v>
          </cell>
          <cell r="FC11">
            <v>21388.680562762733</v>
          </cell>
          <cell r="FO11">
            <v>30532.470383704018</v>
          </cell>
        </row>
        <row r="12">
          <cell r="EE12">
            <v>7733.707869999998</v>
          </cell>
          <cell r="EQ12">
            <v>6801.07578</v>
          </cell>
          <cell r="FC12">
            <v>20806.25008</v>
          </cell>
          <cell r="FO12">
            <v>21491.739479999997</v>
          </cell>
        </row>
        <row r="13">
          <cell r="EQ13">
            <v>34537.907733279455</v>
          </cell>
          <cell r="FC13">
            <v>34794.44308632883</v>
          </cell>
          <cell r="FO13">
            <v>27348.824343824002</v>
          </cell>
        </row>
        <row r="15">
          <cell r="EE15">
            <v>27726.422091702167</v>
          </cell>
          <cell r="EQ15">
            <v>12053.533027132617</v>
          </cell>
          <cell r="FC15">
            <v>35845.873658447716</v>
          </cell>
          <cell r="FO15">
            <v>38249.20736086498</v>
          </cell>
        </row>
        <row r="16">
          <cell r="EE16">
            <v>4590.622706925276</v>
          </cell>
          <cell r="EQ16">
            <v>6869.273541207977</v>
          </cell>
          <cell r="FC16">
            <v>-8720.629810996623</v>
          </cell>
          <cell r="FO16">
            <v>-6966.654417658676</v>
          </cell>
        </row>
        <row r="22">
          <cell r="EE22">
            <v>41875.68439507954</v>
          </cell>
          <cell r="EQ22">
            <v>50748.03547417505</v>
          </cell>
          <cell r="FB22">
            <v>40981.62975167633</v>
          </cell>
          <cell r="FO22">
            <v>60913.42522618903</v>
          </cell>
        </row>
        <row r="24">
          <cell r="EE24">
            <v>23761.929036554204</v>
          </cell>
          <cell r="EQ24">
            <v>22390.467869765605</v>
          </cell>
          <cell r="FB24">
            <v>21170.39631017299</v>
          </cell>
          <cell r="FO24">
            <v>33104.238720941685</v>
          </cell>
        </row>
        <row r="25">
          <cell r="EE25">
            <v>5895.081940601102</v>
          </cell>
          <cell r="EQ25">
            <v>6745.810810030502</v>
          </cell>
          <cell r="FB25">
            <v>5221.820672990402</v>
          </cell>
          <cell r="FO25">
            <v>6991.898931781402</v>
          </cell>
        </row>
        <row r="26">
          <cell r="EE26">
            <v>28688.65855190161</v>
          </cell>
          <cell r="EQ26">
            <v>33703.190767477034</v>
          </cell>
          <cell r="FB26">
            <v>20727.5204167578</v>
          </cell>
          <cell r="FO26">
            <v>47753.69450430113</v>
          </cell>
        </row>
        <row r="28">
          <cell r="EE28">
            <v>10484.58214610701</v>
          </cell>
          <cell r="EQ28">
            <v>16407.215936718894</v>
          </cell>
          <cell r="FB28">
            <v>8100.1358055473975</v>
          </cell>
          <cell r="FO28">
            <v>14704.627688972403</v>
          </cell>
        </row>
        <row r="29">
          <cell r="EE29">
            <v>3701.297403304399</v>
          </cell>
          <cell r="EQ29">
            <v>3357.7165394728004</v>
          </cell>
          <cell r="FB29">
            <v>2769.4594467950005</v>
          </cell>
          <cell r="FO29">
            <v>10348.403483354503</v>
          </cell>
        </row>
        <row r="30">
          <cell r="EE30">
            <v>13187.025843177926</v>
          </cell>
          <cell r="EQ30">
            <v>17044.844706698015</v>
          </cell>
          <cell r="FB30">
            <v>20254.10933491853</v>
          </cell>
          <cell r="FO30">
            <v>13159.7307218879</v>
          </cell>
        </row>
        <row r="32">
          <cell r="EE32">
            <v>13277.346890447194</v>
          </cell>
          <cell r="EQ32">
            <v>5983.251933046711</v>
          </cell>
          <cell r="FB32">
            <v>13070.260504625592</v>
          </cell>
          <cell r="FO32">
            <v>18399.61103196928</v>
          </cell>
        </row>
        <row r="33">
          <cell r="EE33">
            <v>2193.7845372967035</v>
          </cell>
          <cell r="EQ33">
            <v>3388.0942705577013</v>
          </cell>
          <cell r="FB33">
            <v>2452.3612261954017</v>
          </cell>
          <cell r="FO33">
            <v>-3356.504551573101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52">
      <selection activeCell="D55" sqref="D55"/>
    </sheetView>
  </sheetViews>
  <sheetFormatPr defaultColWidth="9.140625" defaultRowHeight="15"/>
  <cols>
    <col min="1" max="1" width="77.8515625" style="0" customWidth="1"/>
    <col min="2" max="2" width="12.57421875" style="0" customWidth="1"/>
    <col min="3" max="3" width="12.140625" style="0" customWidth="1"/>
    <col min="4" max="4" width="12.421875" style="0" customWidth="1"/>
    <col min="5" max="5" width="12.57421875" style="0" customWidth="1"/>
    <col min="6" max="6" width="13.421875" style="0" customWidth="1"/>
  </cols>
  <sheetData>
    <row r="1" spans="1:5" ht="17.25" customHeight="1">
      <c r="A1" s="80" t="s">
        <v>60</v>
      </c>
      <c r="B1" s="80"/>
      <c r="C1" s="80"/>
      <c r="D1" s="80"/>
      <c r="E1" s="80"/>
    </row>
    <row r="2" spans="1:6" ht="37.5" customHeight="1">
      <c r="A2" s="86" t="s">
        <v>76</v>
      </c>
      <c r="B2" s="86"/>
      <c r="C2" s="86"/>
      <c r="D2" s="86"/>
      <c r="E2" s="86"/>
      <c r="F2" s="86"/>
    </row>
    <row r="3" spans="1:6" ht="15">
      <c r="A3" s="8"/>
      <c r="B3" s="9" t="s">
        <v>22</v>
      </c>
      <c r="C3" s="2" t="s">
        <v>23</v>
      </c>
      <c r="D3" s="2" t="s">
        <v>37</v>
      </c>
      <c r="E3" s="44" t="s">
        <v>71</v>
      </c>
      <c r="F3" s="51" t="s">
        <v>74</v>
      </c>
    </row>
    <row r="4" spans="1:6" ht="37.5" customHeight="1">
      <c r="A4" s="10"/>
      <c r="B4" s="11" t="s">
        <v>73</v>
      </c>
      <c r="C4" s="11" t="s">
        <v>73</v>
      </c>
      <c r="D4" s="3" t="s">
        <v>73</v>
      </c>
      <c r="E4" s="45" t="s">
        <v>38</v>
      </c>
      <c r="F4" s="3" t="s">
        <v>73</v>
      </c>
    </row>
    <row r="5" spans="1:6" ht="15">
      <c r="A5" s="12" t="s">
        <v>11</v>
      </c>
      <c r="B5" s="4" t="s">
        <v>1</v>
      </c>
      <c r="C5" s="4" t="s">
        <v>1</v>
      </c>
      <c r="D5" s="4" t="s">
        <v>1</v>
      </c>
      <c r="E5" s="46" t="s">
        <v>1</v>
      </c>
      <c r="F5" s="4" t="s">
        <v>1</v>
      </c>
    </row>
    <row r="6" spans="1:6" ht="16.5" customHeight="1">
      <c r="A6" s="14" t="s">
        <v>2</v>
      </c>
      <c r="B6" s="5" t="s">
        <v>1</v>
      </c>
      <c r="C6" s="5" t="s">
        <v>1</v>
      </c>
      <c r="D6" s="5" t="s">
        <v>1</v>
      </c>
      <c r="E6" s="47" t="s">
        <v>1</v>
      </c>
      <c r="F6" s="5" t="s">
        <v>1</v>
      </c>
    </row>
    <row r="7" spans="1:6" ht="18" customHeight="1">
      <c r="A7" s="15" t="s">
        <v>47</v>
      </c>
      <c r="B7" s="60">
        <v>103.2</v>
      </c>
      <c r="C7" s="60">
        <v>104.9</v>
      </c>
      <c r="D7" s="29">
        <v>106.8</v>
      </c>
      <c r="E7" s="29">
        <v>110.2</v>
      </c>
      <c r="F7" s="60">
        <v>108.6</v>
      </c>
    </row>
    <row r="8" spans="1:6" ht="18.75" customHeight="1">
      <c r="A8" s="16" t="s">
        <v>48</v>
      </c>
      <c r="B8" s="60">
        <v>109.9</v>
      </c>
      <c r="C8" s="60">
        <v>111.1</v>
      </c>
      <c r="D8" s="29">
        <v>101.1</v>
      </c>
      <c r="E8" s="29">
        <v>52.4</v>
      </c>
      <c r="F8" s="60">
        <v>99.5</v>
      </c>
    </row>
    <row r="9" spans="1:6" ht="19.5" customHeight="1">
      <c r="A9" s="14" t="s">
        <v>3</v>
      </c>
      <c r="B9" s="34">
        <v>179298.7</v>
      </c>
      <c r="C9" s="34">
        <v>194105.5</v>
      </c>
      <c r="D9" s="34">
        <v>228434.3</v>
      </c>
      <c r="E9" s="34">
        <v>128254.6</v>
      </c>
      <c r="F9" s="34">
        <v>254703.5</v>
      </c>
    </row>
    <row r="10" spans="1:6" ht="18" customHeight="1">
      <c r="A10" s="16" t="s">
        <v>49</v>
      </c>
      <c r="B10" s="61">
        <v>98.2</v>
      </c>
      <c r="C10" s="61">
        <v>109.9</v>
      </c>
      <c r="D10" s="61">
        <v>116.1</v>
      </c>
      <c r="E10" s="29">
        <v>113.9</v>
      </c>
      <c r="F10" s="61">
        <v>108.3</v>
      </c>
    </row>
    <row r="11" spans="1:6" ht="15">
      <c r="A11" s="17" t="s">
        <v>50</v>
      </c>
      <c r="B11" s="61">
        <v>108.3</v>
      </c>
      <c r="C11" s="61">
        <v>103.8</v>
      </c>
      <c r="D11" s="61">
        <v>110.5</v>
      </c>
      <c r="E11" s="29">
        <v>75</v>
      </c>
      <c r="F11" s="61">
        <v>100.4</v>
      </c>
    </row>
    <row r="12" spans="1:7" ht="17.25" customHeight="1">
      <c r="A12" s="14" t="s">
        <v>20</v>
      </c>
      <c r="B12" s="34">
        <v>43003.5</v>
      </c>
      <c r="C12" s="34">
        <v>40739.9</v>
      </c>
      <c r="D12" s="34">
        <v>40390.9</v>
      </c>
      <c r="E12" s="34">
        <v>17535.7</v>
      </c>
      <c r="F12" s="34">
        <v>45332.1</v>
      </c>
      <c r="G12" s="1"/>
    </row>
    <row r="13" spans="1:6" ht="16.5" customHeight="1">
      <c r="A13" s="16" t="s">
        <v>51</v>
      </c>
      <c r="B13" s="61">
        <v>103.6</v>
      </c>
      <c r="C13" s="61">
        <v>102.5</v>
      </c>
      <c r="D13" s="61">
        <v>100.1</v>
      </c>
      <c r="E13" s="29">
        <v>99.6</v>
      </c>
      <c r="F13" s="61">
        <v>99.9</v>
      </c>
    </row>
    <row r="14" spans="1:6" ht="15">
      <c r="A14" s="17" t="s">
        <v>50</v>
      </c>
      <c r="B14" s="61">
        <v>154.3</v>
      </c>
      <c r="C14" s="61">
        <v>156.3</v>
      </c>
      <c r="D14" s="61">
        <v>155.8</v>
      </c>
      <c r="E14" s="29">
        <v>18.8</v>
      </c>
      <c r="F14" s="61">
        <v>158.8</v>
      </c>
    </row>
    <row r="15" spans="1:6" ht="17.25" customHeight="1">
      <c r="A15" s="14" t="s">
        <v>4</v>
      </c>
      <c r="B15" s="28">
        <v>19671.1</v>
      </c>
      <c r="C15" s="34">
        <v>20459.1</v>
      </c>
      <c r="D15" s="34">
        <v>17134.5</v>
      </c>
      <c r="E15" s="28">
        <v>9333.7</v>
      </c>
      <c r="F15" s="34">
        <v>21643</v>
      </c>
    </row>
    <row r="16" spans="1:6" ht="17.25" customHeight="1">
      <c r="A16" s="16" t="s">
        <v>49</v>
      </c>
      <c r="B16" s="61">
        <v>100.8</v>
      </c>
      <c r="C16" s="61">
        <v>102.1</v>
      </c>
      <c r="D16" s="61">
        <v>86.2</v>
      </c>
      <c r="E16" s="29">
        <v>119.7</v>
      </c>
      <c r="F16" s="61">
        <v>122.7</v>
      </c>
    </row>
    <row r="17" spans="1:6" ht="15">
      <c r="A17" s="17" t="s">
        <v>52</v>
      </c>
      <c r="B17" s="61">
        <v>152.6</v>
      </c>
      <c r="C17" s="61">
        <v>146.9</v>
      </c>
      <c r="D17" s="61">
        <v>124.5</v>
      </c>
      <c r="E17" s="29">
        <v>10.6</v>
      </c>
      <c r="F17" s="61">
        <v>129.9</v>
      </c>
    </row>
    <row r="18" spans="1:6" ht="18.75" customHeight="1">
      <c r="A18" s="14" t="s">
        <v>63</v>
      </c>
      <c r="B18" s="34">
        <v>1220.7</v>
      </c>
      <c r="C18" s="34">
        <v>1942</v>
      </c>
      <c r="D18" s="34">
        <v>3751.4</v>
      </c>
      <c r="E18" s="34">
        <v>2800</v>
      </c>
      <c r="F18" s="34">
        <v>4830</v>
      </c>
    </row>
    <row r="19" spans="1:6" ht="17.25" customHeight="1">
      <c r="A19" s="16" t="s">
        <v>47</v>
      </c>
      <c r="B19" s="61">
        <v>91.2</v>
      </c>
      <c r="C19" s="61">
        <v>148.1</v>
      </c>
      <c r="D19" s="61">
        <v>195.7</v>
      </c>
      <c r="E19" s="29">
        <v>175</v>
      </c>
      <c r="F19" s="61">
        <v>128.8</v>
      </c>
    </row>
    <row r="20" spans="1:6" ht="15">
      <c r="A20" s="17" t="s">
        <v>52</v>
      </c>
      <c r="B20" s="61">
        <v>106.3</v>
      </c>
      <c r="C20" s="61">
        <v>131.6</v>
      </c>
      <c r="D20" s="61">
        <v>134.4</v>
      </c>
      <c r="E20" s="29">
        <v>94</v>
      </c>
      <c r="F20" s="61">
        <v>72.5</v>
      </c>
    </row>
    <row r="21" spans="1:6" ht="30.75" customHeight="1">
      <c r="A21" s="14" t="s">
        <v>5</v>
      </c>
      <c r="B21" s="34">
        <v>33068.6</v>
      </c>
      <c r="C21" s="34">
        <v>32184.3</v>
      </c>
      <c r="D21" s="34">
        <v>30111.2</v>
      </c>
      <c r="E21" s="34">
        <v>14168.5</v>
      </c>
      <c r="F21" s="34">
        <v>29509.8</v>
      </c>
    </row>
    <row r="22" spans="1:6" ht="17.25" customHeight="1">
      <c r="A22" s="16" t="s">
        <v>53</v>
      </c>
      <c r="B22" s="61">
        <v>95.5</v>
      </c>
      <c r="C22" s="61">
        <v>97.3</v>
      </c>
      <c r="D22" s="61">
        <v>93.6</v>
      </c>
      <c r="E22" s="29">
        <v>98.1</v>
      </c>
      <c r="F22" s="61">
        <v>98</v>
      </c>
    </row>
    <row r="23" spans="1:6" ht="15">
      <c r="A23" s="17" t="s">
        <v>52</v>
      </c>
      <c r="B23" s="61">
        <v>105.3</v>
      </c>
      <c r="C23" s="61">
        <v>112.9</v>
      </c>
      <c r="D23" s="61">
        <v>108.5</v>
      </c>
      <c r="E23" s="29">
        <v>80.4</v>
      </c>
      <c r="F23" s="61">
        <v>108.3</v>
      </c>
    </row>
    <row r="24" spans="1:6" ht="31.5" customHeight="1">
      <c r="A24" s="14" t="s">
        <v>6</v>
      </c>
      <c r="B24" s="34">
        <v>24565.9</v>
      </c>
      <c r="C24" s="34">
        <v>23470.5</v>
      </c>
      <c r="D24" s="34">
        <v>21935.5</v>
      </c>
      <c r="E24" s="34">
        <v>11572.9</v>
      </c>
      <c r="F24" s="34">
        <v>22622.6</v>
      </c>
    </row>
    <row r="25" spans="1:6" ht="18" customHeight="1">
      <c r="A25" s="16" t="s">
        <v>51</v>
      </c>
      <c r="B25" s="61">
        <v>90.3</v>
      </c>
      <c r="C25" s="61">
        <v>96.5</v>
      </c>
      <c r="D25" s="61">
        <v>93.5</v>
      </c>
      <c r="E25" s="29">
        <v>103</v>
      </c>
      <c r="F25" s="61">
        <v>103.1</v>
      </c>
    </row>
    <row r="26" spans="1:6" ht="15">
      <c r="A26" s="17" t="s">
        <v>50</v>
      </c>
      <c r="B26" s="61">
        <v>103.9</v>
      </c>
      <c r="C26" s="61">
        <v>95</v>
      </c>
      <c r="D26" s="61">
        <v>95.2</v>
      </c>
      <c r="E26" s="29">
        <v>88.3</v>
      </c>
      <c r="F26" s="61">
        <v>95.5</v>
      </c>
    </row>
    <row r="27" spans="1:6" ht="17.25" customHeight="1">
      <c r="A27" s="14" t="s">
        <v>7</v>
      </c>
      <c r="B27" s="34">
        <v>269853.7</v>
      </c>
      <c r="C27" s="34">
        <v>264261.2</v>
      </c>
      <c r="D27" s="34">
        <v>292199.4</v>
      </c>
      <c r="E27" s="34">
        <v>157386.6</v>
      </c>
      <c r="F27" s="34">
        <v>359062.3</v>
      </c>
    </row>
    <row r="28" spans="1:6" ht="18.75" customHeight="1">
      <c r="A28" s="16" t="s">
        <v>51</v>
      </c>
      <c r="B28" s="61">
        <v>93.1</v>
      </c>
      <c r="C28" s="61">
        <v>98.2</v>
      </c>
      <c r="D28" s="61">
        <v>109.6</v>
      </c>
      <c r="E28" s="33">
        <v>117.3</v>
      </c>
      <c r="F28" s="61">
        <v>117.4</v>
      </c>
    </row>
    <row r="29" spans="1:6" ht="15">
      <c r="A29" s="17" t="s">
        <v>50</v>
      </c>
      <c r="B29" s="61">
        <v>125</v>
      </c>
      <c r="C29" s="61">
        <v>126.6</v>
      </c>
      <c r="D29" s="61">
        <v>128.1</v>
      </c>
      <c r="E29" s="33">
        <v>45.2</v>
      </c>
      <c r="F29" s="61">
        <v>129.1</v>
      </c>
    </row>
    <row r="30" spans="1:6" ht="15">
      <c r="A30" s="18" t="s">
        <v>15</v>
      </c>
      <c r="B30" s="34">
        <v>165055</v>
      </c>
      <c r="C30" s="34">
        <v>173787.5</v>
      </c>
      <c r="D30" s="34">
        <v>194194.4</v>
      </c>
      <c r="E30" s="34">
        <v>111444.8</v>
      </c>
      <c r="F30" s="34">
        <v>225686.2</v>
      </c>
    </row>
    <row r="31" spans="1:6" ht="18" customHeight="1">
      <c r="A31" s="16" t="s">
        <v>51</v>
      </c>
      <c r="B31" s="61">
        <v>104.6</v>
      </c>
      <c r="C31" s="61">
        <v>109.8</v>
      </c>
      <c r="D31" s="61">
        <v>111.1</v>
      </c>
      <c r="E31" s="29">
        <v>115.2</v>
      </c>
      <c r="F31" s="61">
        <v>115.1</v>
      </c>
    </row>
    <row r="32" spans="1:6" ht="15">
      <c r="A32" s="17" t="s">
        <v>50</v>
      </c>
      <c r="B32" s="61">
        <v>96.9</v>
      </c>
      <c r="C32" s="61">
        <v>103.9</v>
      </c>
      <c r="D32" s="61">
        <v>101.6</v>
      </c>
      <c r="E32" s="29">
        <v>78.4</v>
      </c>
      <c r="F32" s="61">
        <v>102.1</v>
      </c>
    </row>
    <row r="33" spans="1:6" ht="15">
      <c r="A33" s="19" t="s">
        <v>12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</row>
    <row r="34" spans="1:6" ht="18.75" customHeight="1">
      <c r="A34" s="14" t="s">
        <v>16</v>
      </c>
      <c r="B34" s="7" t="s">
        <v>1</v>
      </c>
      <c r="C34" s="7" t="s">
        <v>1</v>
      </c>
      <c r="D34" s="7" t="s">
        <v>1</v>
      </c>
      <c r="E34" s="7" t="s">
        <v>1</v>
      </c>
      <c r="F34" s="7" t="s">
        <v>1</v>
      </c>
    </row>
    <row r="35" spans="1:6" ht="18" customHeight="1">
      <c r="A35" s="20" t="s">
        <v>54</v>
      </c>
      <c r="B35" s="61">
        <v>106.2</v>
      </c>
      <c r="C35" s="61">
        <v>100.6</v>
      </c>
      <c r="D35" s="61">
        <v>101.9</v>
      </c>
      <c r="E35" s="29">
        <v>104.6</v>
      </c>
      <c r="F35" s="61">
        <v>104.2</v>
      </c>
    </row>
    <row r="36" spans="1:6" ht="19.5" customHeight="1">
      <c r="A36" s="21" t="s">
        <v>27</v>
      </c>
      <c r="B36" s="61">
        <v>104.8</v>
      </c>
      <c r="C36" s="61">
        <v>98.9</v>
      </c>
      <c r="D36" s="61">
        <v>99.6</v>
      </c>
      <c r="E36" s="29">
        <v>102.7</v>
      </c>
      <c r="F36" s="61">
        <v>103.1</v>
      </c>
    </row>
    <row r="37" spans="1:6" ht="19.5" customHeight="1">
      <c r="A37" s="22" t="s">
        <v>75</v>
      </c>
      <c r="B37" s="61">
        <v>99.8</v>
      </c>
      <c r="C37" s="61">
        <v>98.6</v>
      </c>
      <c r="D37" s="61">
        <v>99.1</v>
      </c>
      <c r="E37" s="29">
        <v>102.7</v>
      </c>
      <c r="F37" s="61">
        <v>99.5</v>
      </c>
    </row>
    <row r="38" spans="1:6" ht="15.75" customHeight="1">
      <c r="A38" s="22" t="s">
        <v>36</v>
      </c>
      <c r="B38" s="61">
        <v>102.3</v>
      </c>
      <c r="C38" s="61">
        <v>100.8</v>
      </c>
      <c r="D38" s="61">
        <v>101.7</v>
      </c>
      <c r="E38" s="29">
        <v>102.7</v>
      </c>
      <c r="F38" s="61">
        <v>102.4</v>
      </c>
    </row>
    <row r="39" spans="1:6" ht="15">
      <c r="A39" s="19" t="s">
        <v>13</v>
      </c>
      <c r="B39" s="4" t="s">
        <v>1</v>
      </c>
      <c r="C39" s="4" t="s">
        <v>1</v>
      </c>
      <c r="D39" s="4" t="s">
        <v>1</v>
      </c>
      <c r="E39" s="4" t="s">
        <v>1</v>
      </c>
      <c r="F39" s="4" t="s">
        <v>1</v>
      </c>
    </row>
    <row r="40" spans="1:6" ht="18" customHeight="1">
      <c r="A40" s="37" t="s">
        <v>0</v>
      </c>
      <c r="B40" s="53">
        <v>624.9</v>
      </c>
      <c r="C40" s="38">
        <v>622.6</v>
      </c>
      <c r="D40" s="53">
        <v>767</v>
      </c>
      <c r="E40" s="53">
        <v>504.3</v>
      </c>
      <c r="F40" s="34">
        <v>1098.4</v>
      </c>
    </row>
    <row r="41" spans="1:6" ht="15.75" customHeight="1">
      <c r="A41" s="21" t="s">
        <v>27</v>
      </c>
      <c r="B41" s="33" t="s">
        <v>1</v>
      </c>
      <c r="C41" s="33" t="s">
        <v>1</v>
      </c>
      <c r="D41" s="33" t="s">
        <v>1</v>
      </c>
      <c r="E41" s="33" t="s">
        <v>1</v>
      </c>
      <c r="F41" s="61">
        <v>143.2</v>
      </c>
    </row>
    <row r="42" spans="1:6" ht="15">
      <c r="A42" s="22" t="s">
        <v>28</v>
      </c>
      <c r="B42" s="33" t="s">
        <v>1</v>
      </c>
      <c r="C42" s="33" t="s">
        <v>1</v>
      </c>
      <c r="D42" s="33" t="s">
        <v>1</v>
      </c>
      <c r="E42" s="33" t="s">
        <v>1</v>
      </c>
      <c r="F42" s="61">
        <v>139.4</v>
      </c>
    </row>
    <row r="43" spans="1:6" ht="15">
      <c r="A43" s="30" t="s">
        <v>79</v>
      </c>
      <c r="B43" s="53">
        <v>225.7</v>
      </c>
      <c r="C43" s="28">
        <v>228</v>
      </c>
      <c r="D43" s="38">
        <v>274.5</v>
      </c>
      <c r="E43" s="28">
        <v>176.7</v>
      </c>
      <c r="F43" s="38">
        <v>386.9</v>
      </c>
    </row>
    <row r="44" spans="1:6" ht="17.25" customHeight="1">
      <c r="A44" s="21" t="s">
        <v>27</v>
      </c>
      <c r="B44" s="33" t="s">
        <v>1</v>
      </c>
      <c r="C44" s="33" t="s">
        <v>1</v>
      </c>
      <c r="D44" s="35" t="s">
        <v>1</v>
      </c>
      <c r="E44" s="33" t="s">
        <v>1</v>
      </c>
      <c r="F44" s="62">
        <v>141</v>
      </c>
    </row>
    <row r="45" spans="1:6" ht="15">
      <c r="A45" s="18" t="s">
        <v>80</v>
      </c>
      <c r="B45" s="53">
        <v>388.5</v>
      </c>
      <c r="C45" s="53">
        <v>394.6</v>
      </c>
      <c r="D45" s="38">
        <v>492.6</v>
      </c>
      <c r="E45" s="34">
        <v>327.5</v>
      </c>
      <c r="F45" s="38">
        <v>711.5</v>
      </c>
    </row>
    <row r="46" spans="1:6" ht="17.25" customHeight="1">
      <c r="A46" s="21" t="s">
        <v>27</v>
      </c>
      <c r="B46" s="33" t="s">
        <v>1</v>
      </c>
      <c r="C46" s="33" t="s">
        <v>1</v>
      </c>
      <c r="D46" s="35" t="s">
        <v>1</v>
      </c>
      <c r="E46" s="33" t="s">
        <v>1</v>
      </c>
      <c r="F46" s="61">
        <v>144.4</v>
      </c>
    </row>
    <row r="47" spans="1:6" ht="15">
      <c r="A47" s="18" t="s">
        <v>8</v>
      </c>
      <c r="B47" s="57">
        <v>-259.8</v>
      </c>
      <c r="C47" s="57">
        <v>-166.6</v>
      </c>
      <c r="D47" s="73">
        <v>-218.1</v>
      </c>
      <c r="E47" s="57">
        <v>-150.8</v>
      </c>
      <c r="F47" s="38">
        <v>-324.6</v>
      </c>
    </row>
    <row r="48" spans="1:6" ht="15">
      <c r="A48" s="19" t="s">
        <v>14</v>
      </c>
      <c r="B48" s="4" t="s">
        <v>1</v>
      </c>
      <c r="C48" s="4" t="s">
        <v>1</v>
      </c>
      <c r="D48" s="4" t="s">
        <v>1</v>
      </c>
      <c r="E48" s="4" t="s">
        <v>1</v>
      </c>
      <c r="F48" s="4" t="s">
        <v>1</v>
      </c>
    </row>
    <row r="49" spans="1:6" ht="24" customHeight="1">
      <c r="A49" s="23" t="s">
        <v>34</v>
      </c>
      <c r="B49" s="34">
        <v>76359</v>
      </c>
      <c r="C49" s="34">
        <v>91460</v>
      </c>
      <c r="D49" s="34">
        <v>96170</v>
      </c>
      <c r="E49" s="34">
        <v>85295</v>
      </c>
      <c r="F49" s="34">
        <v>84539</v>
      </c>
    </row>
    <row r="50" spans="1:6" ht="15">
      <c r="A50" s="17" t="s">
        <v>55</v>
      </c>
      <c r="B50" s="60">
        <v>118.9</v>
      </c>
      <c r="C50" s="60">
        <v>119.8</v>
      </c>
      <c r="D50" s="60">
        <v>105.1</v>
      </c>
      <c r="E50" s="54">
        <v>89</v>
      </c>
      <c r="F50" s="61">
        <v>87.9</v>
      </c>
    </row>
    <row r="51" spans="1:6" ht="16.5" customHeight="1">
      <c r="A51" s="24" t="s">
        <v>56</v>
      </c>
      <c r="B51" s="55">
        <v>69672</v>
      </c>
      <c r="C51" s="55">
        <v>79372</v>
      </c>
      <c r="D51" s="55">
        <v>80950</v>
      </c>
      <c r="E51" s="55">
        <v>69784</v>
      </c>
      <c r="F51" s="63">
        <v>69167</v>
      </c>
    </row>
    <row r="52" spans="1:6" ht="15.75" customHeight="1">
      <c r="A52" s="17" t="s">
        <v>57</v>
      </c>
      <c r="B52" s="60">
        <v>121.2</v>
      </c>
      <c r="C52" s="60">
        <v>113.9</v>
      </c>
      <c r="D52" s="29">
        <v>102</v>
      </c>
      <c r="E52" s="54">
        <v>86.6</v>
      </c>
      <c r="F52" s="61">
        <v>85.4</v>
      </c>
    </row>
    <row r="53" spans="1:6" ht="32.25" customHeight="1">
      <c r="A53" s="25" t="s">
        <v>35</v>
      </c>
      <c r="B53" s="34">
        <v>68227</v>
      </c>
      <c r="C53" s="34">
        <v>78450</v>
      </c>
      <c r="D53" s="34">
        <v>80763</v>
      </c>
      <c r="E53" s="34">
        <v>69784</v>
      </c>
      <c r="F53" s="34">
        <v>69476</v>
      </c>
    </row>
    <row r="54" spans="1:6" ht="15">
      <c r="A54" s="16" t="s">
        <v>57</v>
      </c>
      <c r="B54" s="60">
        <v>120.4</v>
      </c>
      <c r="C54" s="29">
        <v>115</v>
      </c>
      <c r="D54" s="60">
        <v>102.9</v>
      </c>
      <c r="E54" s="29">
        <v>86.6</v>
      </c>
      <c r="F54" s="62">
        <v>86</v>
      </c>
    </row>
    <row r="55" spans="1:6" ht="34.5" customHeight="1">
      <c r="A55" s="14" t="s">
        <v>61</v>
      </c>
      <c r="B55" s="34">
        <v>173556</v>
      </c>
      <c r="C55" s="34">
        <v>181415</v>
      </c>
      <c r="D55" s="34">
        <v>182525</v>
      </c>
      <c r="E55" s="34">
        <v>198816</v>
      </c>
      <c r="F55" s="34">
        <v>171029</v>
      </c>
    </row>
    <row r="56" spans="1:6" ht="15">
      <c r="A56" s="22" t="s">
        <v>19</v>
      </c>
      <c r="B56" s="60">
        <v>110.4</v>
      </c>
      <c r="C56" s="60">
        <v>104.5</v>
      </c>
      <c r="D56" s="29">
        <v>100.6</v>
      </c>
      <c r="E56" s="29">
        <v>110.2</v>
      </c>
      <c r="F56" s="61">
        <v>106.7</v>
      </c>
    </row>
    <row r="57" spans="1:6" ht="15">
      <c r="A57" s="17" t="s">
        <v>17</v>
      </c>
      <c r="B57" s="59">
        <v>155782</v>
      </c>
      <c r="C57" s="59">
        <v>159323</v>
      </c>
      <c r="D57" s="59">
        <v>154565</v>
      </c>
      <c r="E57" s="59">
        <v>162283</v>
      </c>
      <c r="F57" s="58">
        <v>149749</v>
      </c>
    </row>
    <row r="58" spans="1:6" ht="15">
      <c r="A58" s="22" t="s">
        <v>19</v>
      </c>
      <c r="B58" s="60">
        <v>113.5</v>
      </c>
      <c r="C58" s="60">
        <v>102.3</v>
      </c>
      <c r="D58" s="29">
        <v>97</v>
      </c>
      <c r="E58" s="29">
        <v>107.1</v>
      </c>
      <c r="F58" s="61">
        <v>101.9</v>
      </c>
    </row>
    <row r="59" spans="1:6" ht="15">
      <c r="A59" s="17" t="s">
        <v>18</v>
      </c>
      <c r="B59" s="59">
        <v>199259</v>
      </c>
      <c r="C59" s="59">
        <v>212308</v>
      </c>
      <c r="D59" s="59">
        <v>217888</v>
      </c>
      <c r="E59" s="59">
        <v>241363</v>
      </c>
      <c r="F59" s="58">
        <v>185668</v>
      </c>
    </row>
    <row r="60" spans="1:6" ht="15">
      <c r="A60" s="22" t="s">
        <v>19</v>
      </c>
      <c r="B60" s="60">
        <v>106.9</v>
      </c>
      <c r="C60" s="60">
        <v>106.5</v>
      </c>
      <c r="D60" s="29">
        <v>102.6</v>
      </c>
      <c r="E60" s="29">
        <v>111.3</v>
      </c>
      <c r="F60" s="87">
        <v>108.8</v>
      </c>
    </row>
    <row r="61" spans="1:6" ht="15">
      <c r="A61" s="19" t="s">
        <v>21</v>
      </c>
      <c r="B61" s="4" t="s">
        <v>1</v>
      </c>
      <c r="C61" s="4" t="s">
        <v>1</v>
      </c>
      <c r="D61" s="4" t="s">
        <v>1</v>
      </c>
      <c r="E61" s="4" t="s">
        <v>1</v>
      </c>
      <c r="F61" s="4" t="s">
        <v>1</v>
      </c>
    </row>
    <row r="62" spans="1:6" ht="30" customHeight="1">
      <c r="A62" s="14" t="s">
        <v>29</v>
      </c>
      <c r="B62" s="34">
        <v>310114</v>
      </c>
      <c r="C62" s="34">
        <v>458807</v>
      </c>
      <c r="D62" s="34">
        <v>594482</v>
      </c>
      <c r="E62" s="34">
        <v>640007</v>
      </c>
      <c r="F62" s="34">
        <v>642464</v>
      </c>
    </row>
    <row r="63" spans="1:6" ht="31.5" customHeight="1">
      <c r="A63" s="21" t="s">
        <v>31</v>
      </c>
      <c r="B63" s="61">
        <v>-10.5</v>
      </c>
      <c r="C63" s="61">
        <v>-5.4</v>
      </c>
      <c r="D63" s="6" t="s">
        <v>1</v>
      </c>
      <c r="E63" s="6" t="s">
        <v>1</v>
      </c>
      <c r="F63" s="61"/>
    </row>
    <row r="64" spans="1:6" ht="16.5" customHeight="1">
      <c r="A64" s="14" t="s">
        <v>30</v>
      </c>
      <c r="B64" s="34">
        <v>496959</v>
      </c>
      <c r="C64" s="34">
        <v>397938</v>
      </c>
      <c r="D64" s="34">
        <v>330387</v>
      </c>
      <c r="E64" s="34">
        <v>339645</v>
      </c>
      <c r="F64" s="34">
        <v>334475</v>
      </c>
    </row>
    <row r="65" spans="1:6" ht="32.25" customHeight="1">
      <c r="A65" s="21" t="s">
        <v>31</v>
      </c>
      <c r="B65" s="51">
        <v>2.1</v>
      </c>
      <c r="C65" s="51">
        <v>1.4</v>
      </c>
      <c r="D65" s="6" t="s">
        <v>1</v>
      </c>
      <c r="E65" s="6" t="s">
        <v>1</v>
      </c>
      <c r="F65" s="51"/>
    </row>
    <row r="66" spans="1:6" ht="15">
      <c r="A66" s="14" t="s">
        <v>9</v>
      </c>
      <c r="B66" s="34">
        <v>807073</v>
      </c>
      <c r="C66" s="34">
        <v>856745</v>
      </c>
      <c r="D66" s="34">
        <v>924870</v>
      </c>
      <c r="E66" s="34">
        <v>979652</v>
      </c>
      <c r="F66" s="34">
        <v>976939</v>
      </c>
    </row>
    <row r="67" spans="1:6" ht="33" customHeight="1">
      <c r="A67" s="21" t="s">
        <v>31</v>
      </c>
      <c r="B67" s="61">
        <v>-3.2</v>
      </c>
      <c r="C67" s="61">
        <v>-2.3</v>
      </c>
      <c r="D67" s="6" t="s">
        <v>1</v>
      </c>
      <c r="E67" s="6" t="s">
        <v>1</v>
      </c>
      <c r="F67" s="61"/>
    </row>
    <row r="68" spans="1:6" ht="30.75" customHeight="1">
      <c r="A68" s="14" t="s">
        <v>32</v>
      </c>
      <c r="B68" s="34" t="s">
        <v>1</v>
      </c>
      <c r="C68" s="34" t="s">
        <v>1</v>
      </c>
      <c r="D68" s="34" t="s">
        <v>1</v>
      </c>
      <c r="E68" s="34" t="s">
        <v>1</v>
      </c>
      <c r="F68" s="34" t="s">
        <v>1</v>
      </c>
    </row>
    <row r="69" spans="1:6" ht="15">
      <c r="A69" s="16" t="s">
        <v>58</v>
      </c>
      <c r="B69" s="61">
        <v>18.71</v>
      </c>
      <c r="C69" s="61">
        <v>19.18</v>
      </c>
      <c r="D69" s="61">
        <v>16.27</v>
      </c>
      <c r="E69" s="6">
        <v>13.85</v>
      </c>
      <c r="F69" s="61">
        <v>14.19</v>
      </c>
    </row>
    <row r="70" spans="1:6" ht="17.25" customHeight="1">
      <c r="A70" s="16" t="s">
        <v>59</v>
      </c>
      <c r="B70" s="61">
        <v>13.99</v>
      </c>
      <c r="C70" s="61">
        <v>11.44</v>
      </c>
      <c r="D70" s="61">
        <v>9.29</v>
      </c>
      <c r="E70" s="6">
        <v>8.82</v>
      </c>
      <c r="F70" s="61">
        <v>8.73</v>
      </c>
    </row>
    <row r="71" spans="1:6" ht="33.75" customHeight="1">
      <c r="A71" s="14" t="s">
        <v>33</v>
      </c>
      <c r="B71" s="74">
        <v>10.5</v>
      </c>
      <c r="C71" s="74">
        <v>8.5</v>
      </c>
      <c r="D71" s="75">
        <v>6</v>
      </c>
      <c r="E71" s="64">
        <v>6</v>
      </c>
      <c r="F71" s="75">
        <v>6</v>
      </c>
    </row>
    <row r="72" spans="1:6" ht="15">
      <c r="A72" s="14" t="s">
        <v>10</v>
      </c>
      <c r="B72" s="38" t="s">
        <v>1</v>
      </c>
      <c r="C72" s="38" t="s">
        <v>1</v>
      </c>
      <c r="D72" s="5" t="s">
        <v>1</v>
      </c>
      <c r="E72" s="5" t="s">
        <v>1</v>
      </c>
      <c r="F72" s="51"/>
    </row>
    <row r="73" spans="1:6" ht="15">
      <c r="A73" s="22" t="s">
        <v>24</v>
      </c>
      <c r="B73" s="61">
        <v>477.06</v>
      </c>
      <c r="C73" s="61">
        <v>489.84</v>
      </c>
      <c r="D73" s="61">
        <v>486.26</v>
      </c>
      <c r="E73" s="56">
        <v>482.4</v>
      </c>
      <c r="F73" s="61">
        <v>481.88</v>
      </c>
    </row>
    <row r="74" spans="1:6" ht="15">
      <c r="A74" s="22" t="s">
        <v>25</v>
      </c>
      <c r="B74" s="61">
        <v>548.98</v>
      </c>
      <c r="C74" s="61">
        <v>538.12</v>
      </c>
      <c r="D74" s="61">
        <v>517.89</v>
      </c>
      <c r="E74" s="56">
        <v>589.97</v>
      </c>
      <c r="F74" s="61">
        <v>592.41</v>
      </c>
    </row>
    <row r="75" spans="1:6" ht="15">
      <c r="A75" s="22" t="s">
        <v>26</v>
      </c>
      <c r="B75" s="61">
        <v>7.44</v>
      </c>
      <c r="C75" s="61">
        <v>6.32</v>
      </c>
      <c r="D75" s="61">
        <v>8.24</v>
      </c>
      <c r="E75" s="56">
        <v>8.54</v>
      </c>
      <c r="F75" s="61">
        <v>8.51</v>
      </c>
    </row>
    <row r="76" spans="1:6" ht="15">
      <c r="A76" s="36" t="s">
        <v>64</v>
      </c>
      <c r="B76" s="13" t="s">
        <v>1</v>
      </c>
      <c r="C76" s="13" t="s">
        <v>1</v>
      </c>
      <c r="D76" s="4" t="s">
        <v>1</v>
      </c>
      <c r="E76" s="4" t="s">
        <v>1</v>
      </c>
      <c r="F76" s="4" t="s">
        <v>1</v>
      </c>
    </row>
    <row r="77" spans="1:6" ht="15">
      <c r="A77" s="18" t="s">
        <v>65</v>
      </c>
      <c r="B77" s="59">
        <v>158838.2</v>
      </c>
      <c r="C77" s="59">
        <v>161043.8</v>
      </c>
      <c r="D77" s="59">
        <v>172672.1</v>
      </c>
      <c r="E77" s="34">
        <v>59654.4</v>
      </c>
      <c r="F77" s="58">
        <v>153562.1</v>
      </c>
    </row>
    <row r="78" spans="1:6" ht="15">
      <c r="A78" s="18" t="s">
        <v>66</v>
      </c>
      <c r="B78" s="59">
        <v>164430</v>
      </c>
      <c r="C78" s="59">
        <v>169355.5</v>
      </c>
      <c r="D78" s="59">
        <v>172055.2</v>
      </c>
      <c r="E78" s="34">
        <v>56682.9</v>
      </c>
      <c r="F78" s="58">
        <v>157588.2</v>
      </c>
    </row>
    <row r="79" spans="1:6" ht="15">
      <c r="A79" s="18" t="s">
        <v>67</v>
      </c>
      <c r="B79" s="65">
        <v>-5591.8</v>
      </c>
      <c r="C79" s="65">
        <v>-8311.7</v>
      </c>
      <c r="D79" s="59">
        <v>616.9</v>
      </c>
      <c r="E79" s="34">
        <v>2971.5</v>
      </c>
      <c r="F79" s="66">
        <v>-4026.1</v>
      </c>
    </row>
    <row r="80" spans="1:6" ht="15">
      <c r="A80" s="22" t="s">
        <v>68</v>
      </c>
      <c r="B80" s="59">
        <v>5591.8</v>
      </c>
      <c r="C80" s="59">
        <v>8311.7</v>
      </c>
      <c r="D80" s="65">
        <v>-616.9</v>
      </c>
      <c r="E80" s="67">
        <v>-2971.5</v>
      </c>
      <c r="F80" s="58">
        <v>4026.1</v>
      </c>
    </row>
    <row r="81" spans="1:6" ht="15">
      <c r="A81" s="22" t="s">
        <v>69</v>
      </c>
      <c r="B81" s="59">
        <v>9157.1</v>
      </c>
      <c r="C81" s="55">
        <v>20766</v>
      </c>
      <c r="D81" s="59">
        <v>8026</v>
      </c>
      <c r="E81" s="63">
        <v>4715.6</v>
      </c>
      <c r="F81" s="58">
        <v>20904.3</v>
      </c>
    </row>
    <row r="82" spans="1:6" ht="15">
      <c r="A82" s="22" t="s">
        <v>70</v>
      </c>
      <c r="B82" s="65">
        <v>-3565.3</v>
      </c>
      <c r="C82" s="65">
        <v>-12454.3</v>
      </c>
      <c r="D82" s="65">
        <v>-8642.9</v>
      </c>
      <c r="E82" s="67">
        <v>-7687.1</v>
      </c>
      <c r="F82" s="66">
        <v>-16878.2</v>
      </c>
    </row>
    <row r="83" spans="1:6" ht="42.75" customHeight="1">
      <c r="A83" s="83" t="s">
        <v>39</v>
      </c>
      <c r="B83" s="84"/>
      <c r="C83" s="84"/>
      <c r="D83" s="84"/>
      <c r="E83" s="84"/>
      <c r="F83" s="85"/>
    </row>
    <row r="84" spans="1:6" ht="29.25" customHeight="1">
      <c r="A84" s="26" t="s">
        <v>40</v>
      </c>
      <c r="B84" s="41">
        <f>72169.4932779977+'[1]ամսական'!$EE$5</f>
        <v>159674.5580321133</v>
      </c>
      <c r="C84" s="42">
        <f>62515.9606955029+'[1]ամսական'!$EQ$5</f>
        <v>165286.69319324646</v>
      </c>
      <c r="D84" s="42">
        <f>84327.9591507364+'[1]ամսական'!$FC$5</f>
        <v>185473.28124060368</v>
      </c>
      <c r="E84" s="42">
        <v>94671.7454017466</v>
      </c>
      <c r="F84" s="76">
        <f>E84+'[1]ամսական'!$FO$5</f>
        <v>221199.02194572717</v>
      </c>
    </row>
    <row r="85" spans="1:6" ht="15">
      <c r="A85" s="27" t="s">
        <v>41</v>
      </c>
      <c r="B85" s="40">
        <f>38370.9525405978+'[1]ամսական'!$EE$7</f>
        <v>88005.95771275385</v>
      </c>
      <c r="C85" s="31">
        <f>32375.1165818826+'[1]ամսական'!$EQ$7</f>
        <v>77628.28774917495</v>
      </c>
      <c r="D85" s="31">
        <f>43552.7910677132+'[1]ամսական'!$FC$7</f>
        <v>100787.34528892365</v>
      </c>
      <c r="E85" s="31">
        <v>51787.7440610408</v>
      </c>
      <c r="F85" s="68">
        <f>E85+'[1]ամսական'!$FO$7</f>
        <v>120569.4218056098</v>
      </c>
    </row>
    <row r="86" spans="1:6" ht="15">
      <c r="A86" s="27" t="s">
        <v>42</v>
      </c>
      <c r="B86" s="40">
        <f>11272.3960532856+'[1]ամսական'!$EE$8</f>
        <v>23596.726630210876</v>
      </c>
      <c r="C86" s="31">
        <f>9638.33424501132+'[1]ամսական'!$EQ$8</f>
        <v>23308.683566219297</v>
      </c>
      <c r="D86" s="31">
        <f>10749.5432254174+'[1]ամսական'!$FC$8</f>
        <v>22835.163494420776</v>
      </c>
      <c r="E86" s="31">
        <v>12327.0905162188</v>
      </c>
      <c r="F86" s="68">
        <f>E86+'[1]ամսական'!$FO$8</f>
        <v>26852.17557856012</v>
      </c>
    </row>
    <row r="87" spans="1:6" ht="15">
      <c r="A87" s="26" t="s">
        <v>43</v>
      </c>
      <c r="B87" s="41">
        <f>44146.0506554435+'[1]ամսական'!$EE$9</f>
        <v>104111.21049397872</v>
      </c>
      <c r="C87" s="32">
        <f>42519.0809614691+'[1]ամսական'!$EQ$9</f>
        <v>110751.9057259332</v>
      </c>
      <c r="D87" s="32">
        <f>42647.1153209071+'[1]ամսական'!$FC$9</f>
        <v>108997.99432444555</v>
      </c>
      <c r="E87" s="32">
        <v>74347.8171737354</v>
      </c>
      <c r="F87" s="77">
        <f>E87+'[1]ամսական'!$FO$9</f>
        <v>173526.269373892</v>
      </c>
    </row>
    <row r="88" spans="1:6" ht="15">
      <c r="A88" s="27" t="s">
        <v>41</v>
      </c>
      <c r="B88" s="40">
        <f>14301.4384509612+'[1]ամսական'!$EE$11</f>
        <v>36210.02153141509</v>
      </c>
      <c r="C88" s="31">
        <f>17910.5154077512+'[1]ամսական'!$EQ$11</f>
        <v>51110.153547910944</v>
      </c>
      <c r="D88" s="31">
        <f>16661.2991187214+'[1]ամսական'!$FC$11</f>
        <v>38049.97968148413</v>
      </c>
      <c r="E88" s="31">
        <v>28333.2447867223</v>
      </c>
      <c r="F88" s="68">
        <f>E88+'[1]ամսական'!$FO$11</f>
        <v>58865.71517042632</v>
      </c>
    </row>
    <row r="89" spans="1:6" ht="15">
      <c r="A89" s="27" t="s">
        <v>42</v>
      </c>
      <c r="B89" s="40">
        <f>5718.53394+'[1]ամսական'!$EE$12</f>
        <v>13452.24181</v>
      </c>
      <c r="C89" s="31">
        <f>5239.39546+'[1]ամսական'!$EQ$12</f>
        <v>12040.471239999999</v>
      </c>
      <c r="D89" s="31">
        <f>5698.87881+'[1]ամսական'!$FC$12</f>
        <v>26505.12889</v>
      </c>
      <c r="E89" s="31">
        <v>13573.32832</v>
      </c>
      <c r="F89" s="68">
        <f>E89+'[1]ամսական'!$FO$12</f>
        <v>35065.0678</v>
      </c>
    </row>
    <row r="90" spans="1:6" ht="15">
      <c r="A90" s="26" t="s">
        <v>44</v>
      </c>
      <c r="B90" s="41">
        <v>28023.4426225542</v>
      </c>
      <c r="C90" s="32">
        <f>19996.8797340337+'[1]ամսական'!$EQ$13</f>
        <v>54534.78746731316</v>
      </c>
      <c r="D90" s="32">
        <f>41680.8438298292+'[1]ամսական'!$FC$13</f>
        <v>76475.28691615803</v>
      </c>
      <c r="E90" s="42">
        <v>20324</v>
      </c>
      <c r="F90" s="78">
        <f>E90+'[1]ամսական'!$FO$13</f>
        <v>47672.824343824</v>
      </c>
    </row>
    <row r="91" spans="1:6" ht="15">
      <c r="A91" s="27" t="s">
        <v>41</v>
      </c>
      <c r="B91" s="40">
        <f>24069.5140896366+'[1]ամսական'!$EE$15</f>
        <v>51795.936181338766</v>
      </c>
      <c r="C91" s="31">
        <f>14464.6011741314+'[1]ամսական'!$EQ$15</f>
        <v>26518.134201264016</v>
      </c>
      <c r="D91" s="31">
        <f>26891.4919489919+'[1]ամսական'!$FC$15</f>
        <v>62737.36560743961</v>
      </c>
      <c r="E91" s="71">
        <v>23454</v>
      </c>
      <c r="F91" s="72">
        <f>E91+'[1]ամսական'!$FO$15</f>
        <v>61703.20736086498</v>
      </c>
    </row>
    <row r="92" spans="1:6" ht="15">
      <c r="A92" s="27" t="s">
        <v>42</v>
      </c>
      <c r="B92" s="40">
        <f>5553.86211328555+'[1]ամսական'!$EE$16</f>
        <v>10144.484820210826</v>
      </c>
      <c r="C92" s="31">
        <f>4398.93878501132+'[1]ամսական'!$EQ$16</f>
        <v>11268.212326219298</v>
      </c>
      <c r="D92" s="52">
        <f>5050.6644154174+'[1]ամսական'!$FC$16</f>
        <v>-3669.965395579223</v>
      </c>
      <c r="E92" s="70">
        <v>-1246</v>
      </c>
      <c r="F92" s="69">
        <f>E92+'[1]ամսական'!$FO$16</f>
        <v>-8212.654417658676</v>
      </c>
    </row>
    <row r="93" spans="1:6" ht="33.75" customHeight="1">
      <c r="A93" s="83" t="s">
        <v>45</v>
      </c>
      <c r="B93" s="84"/>
      <c r="C93" s="84"/>
      <c r="D93" s="84"/>
      <c r="E93" s="84"/>
      <c r="F93" s="85"/>
    </row>
    <row r="94" spans="1:6" ht="18.75" customHeight="1">
      <c r="A94" s="26" t="s">
        <v>46</v>
      </c>
      <c r="B94" s="41">
        <f>34290.5331725677+'[1]ամսական'!$EE$22</f>
        <v>76166.21756764724</v>
      </c>
      <c r="C94" s="32">
        <f>30377.9260225057+'[1]ամսական'!$EQ$22</f>
        <v>81125.96149668074</v>
      </c>
      <c r="D94" s="32">
        <f>40981.6297516763+'[1]ամսական'!$FB$22</f>
        <v>81963.25950335263</v>
      </c>
      <c r="E94" s="49">
        <v>45678.2530874816</v>
      </c>
      <c r="F94" s="77">
        <f>E94+'[1]ամսական'!$FO$22</f>
        <v>106591.67831367062</v>
      </c>
    </row>
    <row r="95" spans="1:6" ht="15">
      <c r="A95" s="27" t="s">
        <v>41</v>
      </c>
      <c r="B95" s="40">
        <f>18220.2707051519+'[1]ամսական'!$EE$24</f>
        <v>41982.19974170611</v>
      </c>
      <c r="C95" s="31">
        <f>15731.1869705085+'[1]ամսական'!$EQ$24</f>
        <v>38121.6548402741</v>
      </c>
      <c r="D95" s="31">
        <f>21170.396310173+'[1]ամսական'!$FB$24</f>
        <v>42340.792620345994</v>
      </c>
      <c r="E95" s="48">
        <v>24981.493542379</v>
      </c>
      <c r="F95" s="68">
        <f>E95+'[1]ամսական'!$FO$24</f>
        <v>58085.732263320686</v>
      </c>
    </row>
    <row r="96" spans="1:6" ht="15">
      <c r="A96" s="27" t="s">
        <v>42</v>
      </c>
      <c r="B96" s="40">
        <f>5359.626424874+'[1]ամսական'!$EE$25</f>
        <v>11254.708365475102</v>
      </c>
      <c r="C96" s="31">
        <f>4683.9794527247+'[1]ամսական'!$EQ$25</f>
        <v>11429.790262755203</v>
      </c>
      <c r="D96" s="31">
        <f>5221.8206729904+'[1]ամսական'!$FB$25</f>
        <v>10443.641345980803</v>
      </c>
      <c r="E96" s="48">
        <v>5950.434415816</v>
      </c>
      <c r="F96" s="68">
        <f>E96+'[1]ամսական'!$FO$25</f>
        <v>12942.333347597403</v>
      </c>
    </row>
    <row r="97" spans="1:6" ht="15">
      <c r="A97" s="26" t="s">
        <v>43</v>
      </c>
      <c r="B97" s="41">
        <f>20998.9442641072+'[1]ամսական'!$EE$26</f>
        <v>49687.60281600881</v>
      </c>
      <c r="C97" s="32">
        <f>20667.5862092363+'[1]ամսական'!$EQ$26</f>
        <v>54370.77697671333</v>
      </c>
      <c r="D97" s="32">
        <f>20727.5204167578+'[1]ամսական'!$FB$26</f>
        <v>41455.0408335156</v>
      </c>
      <c r="E97" s="49">
        <v>35850.1821001437</v>
      </c>
      <c r="F97" s="77">
        <f>E97+'[1]ամսական'!$FO$26</f>
        <v>83603.87660444483</v>
      </c>
    </row>
    <row r="98" spans="1:6" ht="15">
      <c r="A98" s="27" t="s">
        <v>41</v>
      </c>
      <c r="B98" s="40">
        <f>6794.0658314511+'[1]ամսական'!$EE$28</f>
        <v>17278.64797755811</v>
      </c>
      <c r="C98" s="31">
        <f>8707.1010891547+'[1]ամսական'!$EQ$28</f>
        <v>25114.31702587359</v>
      </c>
      <c r="D98" s="31">
        <f>8100.1358055474+'[1]ամսական'!$FB$28</f>
        <v>16200.271611094799</v>
      </c>
      <c r="E98" s="48">
        <v>13655.0468020065</v>
      </c>
      <c r="F98" s="68">
        <f>E98+'[1]ամսական'!$FO$28</f>
        <v>28359.674490978905</v>
      </c>
    </row>
    <row r="99" spans="1:6" ht="15">
      <c r="A99" s="27" t="s">
        <v>42</v>
      </c>
      <c r="B99" s="40">
        <f>2721.19799229+'[1]ամսական'!$EE$29</f>
        <v>6422.495395594398</v>
      </c>
      <c r="C99" s="31">
        <f>2546.1639846727+'[1]ամսական'!$EQ$29</f>
        <v>5903.8805241455</v>
      </c>
      <c r="D99" s="31">
        <f>2769.459446795+'[1]ամսական'!$FB$29</f>
        <v>5538.91889359</v>
      </c>
      <c r="E99" s="48">
        <v>6548.936994824</v>
      </c>
      <c r="F99" s="68">
        <f>E99+'[1]ամսական'!$FO$29</f>
        <v>16897.340478178503</v>
      </c>
    </row>
    <row r="100" spans="1:6" ht="15">
      <c r="A100" s="26" t="s">
        <v>44</v>
      </c>
      <c r="B100" s="41">
        <f>13291.5889084605+'[1]ամսական'!$EE$30</f>
        <v>26478.614751638426</v>
      </c>
      <c r="C100" s="32">
        <f>9710.33981326939+'[1]ամսական'!$EQ$30</f>
        <v>26755.184519967406</v>
      </c>
      <c r="D100" s="32">
        <f>20254.1093349185+'[1]ամսական'!$FB$30</f>
        <v>40508.21866983703</v>
      </c>
      <c r="E100" s="49">
        <v>9828</v>
      </c>
      <c r="F100" s="77">
        <f>E100+'[1]ամսական'!$FO$30</f>
        <v>22987.7307218879</v>
      </c>
    </row>
    <row r="101" spans="1:6" ht="15">
      <c r="A101" s="27" t="s">
        <v>41</v>
      </c>
      <c r="B101" s="40">
        <f>11426.2048737008+'[1]ամսական'!$EE$32</f>
        <v>24703.551764147996</v>
      </c>
      <c r="C101" s="31">
        <f>7024.0858813538+'[1]ամսական'!$EQ$32</f>
        <v>13007.337814400511</v>
      </c>
      <c r="D101" s="31">
        <f>13070.2605046256+'[1]ամսական'!$FB$32</f>
        <v>26140.52100925119</v>
      </c>
      <c r="E101" s="48">
        <v>11326</v>
      </c>
      <c r="F101" s="68">
        <f>E101+'[1]ամսական'!$FO$32</f>
        <v>29725.61103196928</v>
      </c>
    </row>
    <row r="102" spans="1:6" ht="15">
      <c r="A102" s="27" t="s">
        <v>42</v>
      </c>
      <c r="B102" s="39">
        <f>2638.428432584+'[1]ամսական'!$EE$33</f>
        <v>4832.212969880704</v>
      </c>
      <c r="C102" s="31">
        <f>2137.815468052+'[1]ամսական'!$EQ$33</f>
        <v>5525.909738609702</v>
      </c>
      <c r="D102" s="31">
        <f>2452.3612261954+'[1]ամսական'!$FB$33</f>
        <v>4904.722452390802</v>
      </c>
      <c r="E102" s="50">
        <v>-599</v>
      </c>
      <c r="F102" s="69">
        <f>E102+'[1]ամսական'!$FO$33</f>
        <v>-3955.504551573101</v>
      </c>
    </row>
    <row r="103" spans="1:6" ht="16.5">
      <c r="A103" s="43" t="s">
        <v>77</v>
      </c>
      <c r="B103" s="43"/>
      <c r="C103" s="43"/>
      <c r="D103" s="43"/>
      <c r="E103" s="43"/>
      <c r="F103" s="79"/>
    </row>
    <row r="104" spans="1:6" ht="27" customHeight="1">
      <c r="A104" s="81" t="s">
        <v>78</v>
      </c>
      <c r="B104" s="81"/>
      <c r="C104" s="81"/>
      <c r="D104" s="81"/>
      <c r="E104" s="81"/>
      <c r="F104" s="81"/>
    </row>
    <row r="105" spans="1:6" ht="30.75" customHeight="1">
      <c r="A105" s="82" t="s">
        <v>72</v>
      </c>
      <c r="B105" s="82"/>
      <c r="C105" s="82"/>
      <c r="D105" s="82"/>
      <c r="E105" s="82"/>
      <c r="F105" s="82"/>
    </row>
    <row r="106" spans="1:6" ht="27.75" customHeight="1">
      <c r="A106" s="82" t="s">
        <v>62</v>
      </c>
      <c r="B106" s="82"/>
      <c r="C106" s="82"/>
      <c r="D106" s="82"/>
      <c r="E106" s="82"/>
      <c r="F106" s="82"/>
    </row>
  </sheetData>
  <sheetProtection/>
  <mergeCells count="7">
    <mergeCell ref="A1:E1"/>
    <mergeCell ref="A104:F104"/>
    <mergeCell ref="A105:F105"/>
    <mergeCell ref="A106:F106"/>
    <mergeCell ref="A83:F83"/>
    <mergeCell ref="A93:F93"/>
    <mergeCell ref="A2:F2"/>
  </mergeCells>
  <printOptions/>
  <pageMargins left="0.3854166666666667" right="0.10416666666666667" top="0.395833333333333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2018-04-18T07:44:56Z</cp:lastPrinted>
  <dcterms:created xsi:type="dcterms:W3CDTF">2016-03-14T08:42:16Z</dcterms:created>
  <dcterms:modified xsi:type="dcterms:W3CDTF">2018-04-19T06:10:26Z</dcterms:modified>
  <cp:category/>
  <cp:version/>
  <cp:contentType/>
  <cp:contentStatus/>
</cp:coreProperties>
</file>