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<sst xmlns="http://schemas.openxmlformats.org/spreadsheetml/2006/main" count="206" uniqueCount="82">
  <si>
    <t>Արտաքին առևտրաշրջանառության ծավալը, մլն ԱՄՆ դոլար</t>
  </si>
  <si>
    <t>x</t>
  </si>
  <si>
    <t>Տնտեսական ակտիվության ցուցանիշը (ՏԱՑ)</t>
  </si>
  <si>
    <t>Արդյունաբերական արտադրանքի ծավալը, ընթացիկ գներով, մլն դրամ</t>
  </si>
  <si>
    <t>Իրականացված շինարարության ծավալը, ընթացիկ գներով, մլն դրամ</t>
  </si>
  <si>
    <t>Ուղևորափոխադրումների ծավալն ըստ ընդհանուր օգտագործման տրանսպորտի տեսակների, հազար մարդ</t>
  </si>
  <si>
    <t>Հեռուստառադիոծրագրերի կազմման և հեռարձակման, հեռահաղորդակցության գործունեությունից ստացված հասույթը, մլն դրամ</t>
  </si>
  <si>
    <t>Առևտրի շրջանառությունը, ընդամենը, մլն դրամ (ընթացիկ գներով)</t>
  </si>
  <si>
    <t>Առևտրի հաշվեկշիռ, մլն ԱՄՆ դոլար</t>
  </si>
  <si>
    <t>Փողի բազա, մլն. դրամ</t>
  </si>
  <si>
    <t>Արտարժութային փոխարժեքներ, ՀՀ դրամ</t>
  </si>
  <si>
    <t>I ԻՐԱԿԱՆ ՀԱՏՎԱԾ</t>
  </si>
  <si>
    <t>II ԳՆԵՐԻ ԻՆԴԵՔՍՆԵՐ ԵՎ ԳՆԱՃ</t>
  </si>
  <si>
    <t>III ԱՐՏԱՔԻՆ ՀԱՏՎԱԾ</t>
  </si>
  <si>
    <t>IV ԱՇԽԱՏԱՆՔԻ ՇՈՒԿԱ</t>
  </si>
  <si>
    <t>Այլ ծառայություններ, մլն դրամ (ընթացիկ գներով)</t>
  </si>
  <si>
    <t xml:space="preserve">Սպառողական գների ինդեքսը </t>
  </si>
  <si>
    <t xml:space="preserve">  պետական հատված, դրամ</t>
  </si>
  <si>
    <t xml:space="preserve">  ոչ պետական հատված, դրամ</t>
  </si>
  <si>
    <t xml:space="preserve">     նախորդ տարվա նույն ամսվա նկատմամբ, %</t>
  </si>
  <si>
    <t>Գյուղատնտեսության համախառն արտադրանքը, ընթացիկ գներով, մլն դրամ</t>
  </si>
  <si>
    <t>V ԴՐԱՄԱՎԱՐԿԱՅԻՆ ՀԻՄՆԱԿԱՆ ՑՈՒՑԱՆԻՇՆԵՐ</t>
  </si>
  <si>
    <t>2014թ.</t>
  </si>
  <si>
    <t>2015թ.</t>
  </si>
  <si>
    <t>2016թ.</t>
  </si>
  <si>
    <t xml:space="preserve">     1 ԱՄՆ դոլար (միջինը)</t>
  </si>
  <si>
    <t xml:space="preserve">     1 ԵՎՐՈ (միջինը)</t>
  </si>
  <si>
    <t xml:space="preserve">     1 ՌՌ (միջինը)</t>
  </si>
  <si>
    <t xml:space="preserve">     նախորդ տարվա նույն ժամանակաշրջանի նկատմամբ, %</t>
  </si>
  <si>
    <t xml:space="preserve">     ժամանակաշրջանի վերջին ամիսը նախորդ ամսվա նկատմամբ, %</t>
  </si>
  <si>
    <t xml:space="preserve">     ժամանակաշրջանի վերջին ամիսը նախորդ տարվա նույն ամսվա նկատմամբ, %</t>
  </si>
  <si>
    <t>Զուտ միջազգային պահուստներ (ԶՄՊ), ժամանակաշրջանի վերջի դրությամբ, մլն. դրամ</t>
  </si>
  <si>
    <t>Զուտ ներքին ակտիվներ, ժամանակաշրջանի վերջի դրությամբ, մլն. դրամ</t>
  </si>
  <si>
    <t xml:space="preserve">     %-ային փոփոխությունները ժամանակաշրջանի վերջին ամսվան նախորդող ամսվա նկատմամբ</t>
  </si>
  <si>
    <t>Առևտրային բանկերի գործառնությունների տոկոսադրույքները ժամանակաշրջանի վերջին ամսվա դրությամբ, %</t>
  </si>
  <si>
    <t>ՀՀ կենտրոնական բանկի ռեպո գործառնությունների տոկոսադրույքները ժամանակաշրջանի վերջին ամսվա դրությամբ, %</t>
  </si>
  <si>
    <t>Աշխատանք փնտրողներ, ընդամենը ժամանակաշրջանի վերջին ամսվա դրությամբ, մարդ</t>
  </si>
  <si>
    <t>Պաշտոնապես գրանցված գործազուրկների միջին ամսական թվաքանակը, ընդամենը ժամանակաշրջանի վերջին ամսվա դրությամբ, մարդ</t>
  </si>
  <si>
    <t xml:space="preserve">     ժամանակաշրջանի վերջին ամիսը նախորդ տարվա դեկտեմբերի նկատմամբ, %</t>
  </si>
  <si>
    <t>2017թ.</t>
  </si>
  <si>
    <t>հունվար</t>
  </si>
  <si>
    <t>ՀՀ բանկերի միջոցով ֆիզիկական անձանց անունով արտերկրից ստացված և ՀՀ-ից ֆիզիկական անձանց կողմից արտերկիր իրականացված փոխանցումներ (հազ. դոլար)</t>
  </si>
  <si>
    <t>Ներհոսք,  այդ թվում`</t>
  </si>
  <si>
    <t xml:space="preserve">           Ռուսաստանի Դաշնություն</t>
  </si>
  <si>
    <t xml:space="preserve">            ԱՄՆ</t>
  </si>
  <si>
    <t xml:space="preserve"> Արտահոսք,  այդ թվում`</t>
  </si>
  <si>
    <t>Զուտ Ներհոսք,  այդ թվում`</t>
  </si>
  <si>
    <t>ՀՀ բանկերի միջոցով ֆիզիկական անձանց անունով արտերկրից ստացված և ՀՀ-ից ֆիզիկական անձանց կողմից արտերկիր իրականացված փոխանցումներ (մլն ՀՀ դրամ)</t>
  </si>
  <si>
    <t>Ներհոսք, այդ թվում`</t>
  </si>
  <si>
    <r>
      <t xml:space="preserve">     </t>
    </r>
    <r>
      <rPr>
        <i/>
        <sz val="10"/>
        <color indexed="8"/>
        <rFont val="GHEA Grapalat"/>
        <family val="3"/>
      </rPr>
      <t>նախորդ տարվա նույն ժամանակաշրջանի նկատմամբ, %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</si>
  <si>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</t>
    </r>
    <r>
      <rPr>
        <sz val="10"/>
        <color indexed="8"/>
        <rFont val="GHEA Grapalat"/>
        <family val="3"/>
      </rPr>
      <t xml:space="preserve"> </t>
    </r>
    <r>
      <rPr>
        <i/>
        <sz val="10"/>
        <color indexed="8"/>
        <rFont val="GHEA Grapalat"/>
        <family val="3"/>
      </rPr>
      <t>նախորդ ամսվա նկատմամբ,%</t>
    </r>
  </si>
  <si>
    <r>
      <t xml:space="preserve">    </t>
    </r>
    <r>
      <rPr>
        <i/>
        <sz val="10"/>
        <color indexed="8"/>
        <rFont val="GHEA Grapalat"/>
        <family val="3"/>
      </rPr>
      <t xml:space="preserve"> նախորդ տարվա նույն ժամանակաշրջանի նկատմամբ (իրական աճը, %)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</si>
  <si>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 նախորդ ամսվա նկատմամբ (իրական աճը, %)</t>
    </r>
  </si>
  <si>
    <r>
      <t xml:space="preserve">     </t>
    </r>
    <r>
      <rPr>
        <i/>
        <sz val="10"/>
        <color indexed="8"/>
        <rFont val="GHEA Grapalat"/>
        <family val="3"/>
      </rPr>
      <t>նախորդ տարվա նույն ժամանակաշրջանի նկատմամբ (իրական աճը, %)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</si>
  <si>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 նախորդ ամսվա նկատմամբ, %</t>
    </r>
  </si>
  <si>
    <r>
      <t xml:space="preserve">     </t>
    </r>
    <r>
      <rPr>
        <i/>
        <sz val="10"/>
        <color indexed="8"/>
        <rFont val="GHEA Grapalat"/>
        <family val="3"/>
      </rPr>
      <t xml:space="preserve"> նախորդ տարվա նույն ժամանակաշրջանի նկատմամբ, %</t>
    </r>
  </si>
  <si>
    <r>
      <t xml:space="preserve">     </t>
    </r>
    <r>
      <rPr>
        <i/>
        <sz val="10"/>
        <color indexed="8"/>
        <rFont val="GHEA Grapalat"/>
        <family val="3"/>
      </rPr>
      <t>ժամանակաշրջանի վերջին ամիսը</t>
    </r>
    <r>
      <rPr>
        <sz val="10"/>
        <color indexed="8"/>
        <rFont val="GHEA Grapalat"/>
        <family val="3"/>
      </rPr>
      <t xml:space="preserve"> </t>
    </r>
    <r>
      <rPr>
        <i/>
        <sz val="10"/>
        <color indexed="8"/>
        <rFont val="GHEA Grapalat"/>
        <family val="3"/>
      </rPr>
      <t>նախորդ տարվա նկատմամբ, %</t>
    </r>
  </si>
  <si>
    <r>
      <t xml:space="preserve">    </t>
    </r>
    <r>
      <rPr>
        <i/>
        <sz val="10"/>
        <color indexed="8"/>
        <rFont val="GHEA Grapalat"/>
        <family val="3"/>
      </rPr>
      <t xml:space="preserve"> նախորդ տարվա նույն ամսվա նկատմամբ, %</t>
    </r>
  </si>
  <si>
    <r>
      <t xml:space="preserve">    </t>
    </r>
    <r>
      <rPr>
        <i/>
        <sz val="10"/>
        <color indexed="8"/>
        <rFont val="GHEA Grapalat"/>
        <family val="3"/>
      </rPr>
      <t xml:space="preserve"> նրանցից` գործազուրկներ, ընդամենը, մարդ</t>
    </r>
  </si>
  <si>
    <r>
      <t xml:space="preserve">     </t>
    </r>
    <r>
      <rPr>
        <i/>
        <sz val="10"/>
        <color indexed="8"/>
        <rFont val="GHEA Grapalat"/>
        <family val="3"/>
      </rPr>
      <t>նախորդ տարվա նույն ամսվա նկատմամբ, %</t>
    </r>
  </si>
  <si>
    <r>
      <t xml:space="preserve">     </t>
    </r>
    <r>
      <rPr>
        <i/>
        <sz val="10"/>
        <color indexed="8"/>
        <rFont val="GHEA Grapalat"/>
        <family val="3"/>
      </rPr>
      <t>վարկեր, %</t>
    </r>
  </si>
  <si>
    <r>
      <t xml:space="preserve">     </t>
    </r>
    <r>
      <rPr>
        <i/>
        <sz val="10"/>
        <color indexed="8"/>
        <rFont val="GHEA Grapalat"/>
        <family val="3"/>
      </rPr>
      <t>ավանդներ, %</t>
    </r>
  </si>
  <si>
    <t xml:space="preserve">                                     ՏԵՂԵԿԱՆՔ</t>
  </si>
  <si>
    <t>Միջին ամսական անվանական աշխատավարձը ժամանակաշրջանի վերջին ամսվա դրությամբ, դրամ</t>
  </si>
  <si>
    <t>Աղբյուրը՝ Հայաստանի Հանրապետության Կենտրոնական բանկի ինտերնետային կայքի վիճակագրություն բաժնի հրապարակումներ` ՀՀ բանկերի միջոցով ֆիզիկական անձանց անունով արտերկրից ստացված և ՀՀ–ից ֆիզիկական անձանց կողմից արտերկիր իրականացված փոխանցումներ:</t>
  </si>
  <si>
    <t>Բեռնափոխադրումների ծավալը, հազ. տոննա</t>
  </si>
  <si>
    <t>VI ՀԱՐԿԱԲՅՈՒՋԵՏԱՅԻՆ ՑՈՒՑԱՆԻՇՆԵՐ</t>
  </si>
  <si>
    <t>Պետական բյուջեի եկամուտներ, ընթացիկ գներով, մլն. դրամ</t>
  </si>
  <si>
    <t>Պետական բյուջեի ծախսեր, ընթացիկ գներով, մլն. դրամ</t>
  </si>
  <si>
    <t>Պակասուրդ (-)/հավելուրդ (+), ընթացիկ գներով, մլն. դրամ</t>
  </si>
  <si>
    <t xml:space="preserve">  ֆինանսավորում</t>
  </si>
  <si>
    <t xml:space="preserve">    ֆինանսավորման ներքին աղբյուրներ</t>
  </si>
  <si>
    <t xml:space="preserve">    ֆինանսավորման արտաքին աղբյուրներ</t>
  </si>
  <si>
    <t xml:space="preserve">  ՀՀ տնտեսությունը բնութագրող հիմնական մակրոտնտեսական ցուցանիշների վերաբերյալ (հունվար-օգոստոս)</t>
  </si>
  <si>
    <t>հունվար-օգոստոս</t>
  </si>
  <si>
    <t>Արտահանում (ՖՕԲ* գներով), մլն ԱՄՆ դոլար</t>
  </si>
  <si>
    <t>Ներմուծում (ՍԻՖ** գներով), մլն ԱՄՆ դոլար</t>
  </si>
  <si>
    <t>*ապրանքի արժեքը մինչև ՀՀ սահման (Free On Board)</t>
  </si>
  <si>
    <t>** ապրանքի արժեքը, ներառյալ նաև տվյալ ապրանքի փոխադրման համար կատարված տրանսպորտային ծախսերը և ապահովագրական վճարները (cost, insurance, freight)</t>
  </si>
  <si>
    <t>211 598</t>
  </si>
  <si>
    <t xml:space="preserve">102.2
</t>
  </si>
  <si>
    <t>Աղբյուրը՝ Հայաստանի Հանրապետության ազգային վիճակագրական ծառայության ինտերնետային կայքի հրապարակումները` ՀՀ սոցիալ-տնտեսական վիճակը 2017թ. հունվարին, հուվար-օգոստոսին և 2014-2016թթ. հունվար-օգոստոսին: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</si>
</sst>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;[Red]0.00"/>
    <numFmt numFmtId="166" formatCode="0.0;[Red]0.0"/>
    <numFmt numFmtId="167" formatCode="0.0"/>
    <numFmt numFmtId="168" formatCode="_(* #,##0.0_);_(* \(#,##0.0\);_(* &quot;-&quot;??_);_(@_)"/>
    <numFmt numFmtId="169" formatCode="#,##0.0;[Red]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  <numFmt numFmtId="175" formatCode="#,##0.000"/>
    <numFmt numFmtId="176" formatCode="0.000"/>
    <numFmt numFmtId="177" formatCode="_(* #,##0_);_(* \(#,##0\);_(* &quot;-&quot;??_);_(@_)"/>
    <numFmt numFmtId="178" formatCode="dd/mm/yyyy"/>
    <numFmt numFmtId="179" formatCode="_(* #,##0.000_);_(* \(#,##0.000\);_(* &quot;-&quot;??_);_(@_)"/>
    <numFmt numFmtId="180" formatCode="0.00_);\(0.00\)"/>
    <numFmt numFmtId="181" formatCode="0;[Red]0"/>
    <numFmt numFmtId="182" formatCode="0.000;[Red]0.000"/>
    <numFmt numFmtId="183" formatCode="#,##0;[Red]#,##0"/>
    <numFmt numFmtId="184" formatCode="0.0_);\(0.0\)"/>
    <numFmt numFmtId="185" formatCode="0_);\(0\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HEA Grapalat"/>
      <family val="3"/>
    </font>
    <font>
      <i/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2" fontId="45" fillId="35" borderId="10" xfId="0" applyNumberFormat="1" applyFont="1" applyFill="1" applyBorder="1" applyAlignment="1">
      <alignment horizontal="center" vertical="center" wrapText="1"/>
    </xf>
    <xf numFmtId="4" fontId="43" fillId="34" borderId="10" xfId="42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2" fontId="43" fillId="0" borderId="12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164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164" fontId="43" fillId="34" borderId="10" xfId="0" applyNumberFormat="1" applyFont="1" applyFill="1" applyBorder="1" applyAlignment="1">
      <alignment horizontal="center" vertical="center"/>
    </xf>
    <xf numFmtId="169" fontId="43" fillId="34" borderId="10" xfId="42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3" fillId="34" borderId="10" xfId="0" applyFont="1" applyFill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2" fontId="43" fillId="34" borderId="10" xfId="0" applyNumberFormat="1" applyFont="1" applyFill="1" applyBorder="1" applyAlignment="1">
      <alignment horizontal="center" vertical="center"/>
    </xf>
    <xf numFmtId="0" fontId="5" fillId="36" borderId="10" xfId="55" applyNumberFormat="1" applyFont="1" applyFill="1" applyBorder="1" applyAlignment="1">
      <alignment vertical="center" wrapText="1"/>
      <protection/>
    </xf>
    <xf numFmtId="0" fontId="3" fillId="0" borderId="10" xfId="55" applyNumberFormat="1" applyFont="1" applyBorder="1" applyAlignment="1">
      <alignment wrapText="1"/>
      <protection/>
    </xf>
    <xf numFmtId="164" fontId="43" fillId="34" borderId="10" xfId="42" applyNumberFormat="1" applyFont="1" applyFill="1" applyBorder="1" applyAlignment="1">
      <alignment horizontal="center" vertical="center" wrapText="1"/>
    </xf>
    <xf numFmtId="167" fontId="45" fillId="35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/>
    </xf>
    <xf numFmtId="174" fontId="3" fillId="0" borderId="10" xfId="42" applyNumberFormat="1" applyFont="1" applyBorder="1" applyAlignment="1">
      <alignment horizontal="center" vertical="center" wrapText="1"/>
    </xf>
    <xf numFmtId="174" fontId="5" fillId="36" borderId="10" xfId="42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69" fontId="45" fillId="35" borderId="10" xfId="42" applyNumberFormat="1" applyFont="1" applyFill="1" applyBorder="1" applyAlignment="1">
      <alignment horizontal="center" vertical="center" wrapText="1"/>
    </xf>
    <xf numFmtId="166" fontId="45" fillId="35" borderId="10" xfId="0" applyNumberFormat="1" applyFont="1" applyFill="1" applyBorder="1" applyAlignment="1">
      <alignment horizontal="center" vertical="center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167" fontId="45" fillId="0" borderId="10" xfId="0" applyNumberFormat="1" applyFont="1" applyBorder="1" applyAlignment="1">
      <alignment horizontal="center"/>
    </xf>
    <xf numFmtId="167" fontId="45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 wrapText="1"/>
    </xf>
    <xf numFmtId="167" fontId="45" fillId="0" borderId="10" xfId="0" applyNumberFormat="1" applyFont="1" applyBorder="1" applyAlignment="1">
      <alignment horizontal="center" vertical="center" wrapText="1"/>
    </xf>
    <xf numFmtId="169" fontId="43" fillId="34" borderId="10" xfId="42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/>
    </xf>
    <xf numFmtId="166" fontId="45" fillId="35" borderId="10" xfId="42" applyNumberFormat="1" applyFont="1" applyFill="1" applyBorder="1" applyAlignment="1">
      <alignment horizontal="center" vertical="center" wrapText="1"/>
    </xf>
    <xf numFmtId="167" fontId="43" fillId="34" borderId="10" xfId="42" applyNumberFormat="1" applyFont="1" applyFill="1" applyBorder="1" applyAlignment="1">
      <alignment horizontal="center" vertical="center" wrapText="1"/>
    </xf>
    <xf numFmtId="166" fontId="7" fillId="35" borderId="10" xfId="42" applyNumberFormat="1" applyFont="1" applyFill="1" applyBorder="1" applyAlignment="1">
      <alignment horizontal="center" vertical="center" wrapText="1"/>
    </xf>
    <xf numFmtId="169" fontId="43" fillId="34" borderId="10" xfId="0" applyNumberFormat="1" applyFont="1" applyFill="1" applyBorder="1" applyAlignment="1">
      <alignment horizontal="center" vertical="center" wrapText="1"/>
    </xf>
    <xf numFmtId="169" fontId="45" fillId="0" borderId="10" xfId="42" applyNumberFormat="1" applyFont="1" applyBorder="1" applyAlignment="1">
      <alignment horizontal="center" vertical="center"/>
    </xf>
    <xf numFmtId="169" fontId="45" fillId="35" borderId="10" xfId="42" applyNumberFormat="1" applyFont="1" applyFill="1" applyBorder="1" applyAlignment="1">
      <alignment horizontal="center" vertical="center"/>
    </xf>
    <xf numFmtId="169" fontId="45" fillId="0" borderId="10" xfId="0" applyNumberFormat="1" applyFont="1" applyBorder="1" applyAlignment="1">
      <alignment horizontal="center"/>
    </xf>
    <xf numFmtId="169" fontId="45" fillId="35" borderId="10" xfId="0" applyNumberFormat="1" applyFont="1" applyFill="1" applyBorder="1" applyAlignment="1">
      <alignment horizontal="center" vertical="center" wrapText="1"/>
    </xf>
    <xf numFmtId="169" fontId="45" fillId="0" borderId="10" xfId="0" applyNumberFormat="1" applyFont="1" applyBorder="1" applyAlignment="1">
      <alignment horizontal="center" vertical="center" wrapText="1"/>
    </xf>
    <xf numFmtId="164" fontId="43" fillId="35" borderId="10" xfId="42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3" fontId="5" fillId="36" borderId="10" xfId="55" applyNumberFormat="1" applyFont="1" applyFill="1" applyBorder="1" applyAlignment="1">
      <alignment horizontal="center" vertical="center" wrapText="1"/>
      <protection/>
    </xf>
    <xf numFmtId="3" fontId="44" fillId="36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7" fontId="43" fillId="0" borderId="10" xfId="0" applyNumberFormat="1" applyFont="1" applyBorder="1" applyAlignment="1">
      <alignment horizontal="center" vertical="center" wrapText="1"/>
    </xf>
    <xf numFmtId="169" fontId="45" fillId="34" borderId="10" xfId="42" applyNumberFormat="1" applyFont="1" applyFill="1" applyBorder="1" applyAlignment="1">
      <alignment horizontal="center" vertical="center" wrapText="1"/>
    </xf>
    <xf numFmtId="183" fontId="43" fillId="0" borderId="10" xfId="42" applyNumberFormat="1" applyFont="1" applyBorder="1" applyAlignment="1">
      <alignment horizontal="center" vertical="center" wrapText="1"/>
    </xf>
    <xf numFmtId="37" fontId="43" fillId="0" borderId="10" xfId="42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4" fontId="43" fillId="34" borderId="16" xfId="42" applyNumberFormat="1" applyFont="1" applyFill="1" applyBorder="1" applyAlignment="1">
      <alignment horizontal="center" vertical="center" wrapText="1"/>
    </xf>
    <xf numFmtId="4" fontId="45" fillId="0" borderId="10" xfId="42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45" fillId="35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67" fontId="45" fillId="35" borderId="10" xfId="0" applyNumberFormat="1" applyFont="1" applyFill="1" applyBorder="1" applyAlignment="1">
      <alignment horizontal="center" vertical="center"/>
    </xf>
    <xf numFmtId="167" fontId="43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169" fontId="3" fillId="35" borderId="10" xfId="42" applyNumberFormat="1" applyFont="1" applyFill="1" applyBorder="1" applyAlignment="1">
      <alignment horizontal="center" vertical="center"/>
    </xf>
    <xf numFmtId="164" fontId="43" fillId="35" borderId="10" xfId="0" applyNumberFormat="1" applyFont="1" applyFill="1" applyBorder="1" applyAlignment="1">
      <alignment horizontal="center"/>
    </xf>
    <xf numFmtId="169" fontId="43" fillId="35" borderId="10" xfId="42" applyNumberFormat="1" applyFont="1" applyFill="1" applyBorder="1" applyAlignment="1">
      <alignment horizontal="center" vertical="center"/>
    </xf>
    <xf numFmtId="168" fontId="43" fillId="35" borderId="10" xfId="42" applyNumberFormat="1" applyFont="1" applyFill="1" applyBorder="1" applyAlignment="1">
      <alignment horizontal="center" vertical="center"/>
    </xf>
    <xf numFmtId="4" fontId="45" fillId="35" borderId="10" xfId="42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169" fontId="3" fillId="34" borderId="10" xfId="42" applyNumberFormat="1" applyFont="1" applyFill="1" applyBorder="1" applyAlignment="1">
      <alignment horizontal="center" vertical="center" wrapText="1"/>
    </xf>
    <xf numFmtId="164" fontId="43" fillId="34" borderId="10" xfId="42" applyNumberFormat="1" applyFont="1" applyFill="1" applyBorder="1" applyAlignment="1">
      <alignment horizontal="center"/>
    </xf>
    <xf numFmtId="169" fontId="3" fillId="35" borderId="10" xfId="42" applyNumberFormat="1" applyFont="1" applyFill="1" applyBorder="1" applyAlignment="1">
      <alignment horizontal="center" vertical="center" wrapText="1"/>
    </xf>
    <xf numFmtId="167" fontId="43" fillId="35" borderId="10" xfId="0" applyNumberFormat="1" applyFont="1" applyFill="1" applyBorder="1" applyAlignment="1">
      <alignment horizontal="center"/>
    </xf>
    <xf numFmtId="164" fontId="43" fillId="35" borderId="10" xfId="42" applyNumberFormat="1" applyFont="1" applyFill="1" applyBorder="1" applyAlignment="1">
      <alignment horizontal="center"/>
    </xf>
    <xf numFmtId="164" fontId="43" fillId="35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wrapText="1"/>
    </xf>
    <xf numFmtId="167" fontId="43" fillId="34" borderId="10" xfId="0" applyNumberFormat="1" applyFont="1" applyFill="1" applyBorder="1" applyAlignment="1">
      <alignment horizontal="center"/>
    </xf>
    <xf numFmtId="169" fontId="43" fillId="34" borderId="10" xfId="42" applyNumberFormat="1" applyFont="1" applyFill="1" applyBorder="1" applyAlignment="1">
      <alignment horizontal="center"/>
    </xf>
    <xf numFmtId="169" fontId="3" fillId="34" borderId="10" xfId="42" applyNumberFormat="1" applyFont="1" applyFill="1" applyBorder="1" applyAlignment="1">
      <alignment horizontal="center" vertical="center"/>
    </xf>
    <xf numFmtId="169" fontId="43" fillId="34" borderId="10" xfId="0" applyNumberFormat="1" applyFont="1" applyFill="1" applyBorder="1" applyAlignment="1">
      <alignment horizontal="center" vertical="center"/>
    </xf>
    <xf numFmtId="4" fontId="43" fillId="34" borderId="10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94">
      <selection activeCell="A108" sqref="A108:F108"/>
    </sheetView>
  </sheetViews>
  <sheetFormatPr defaultColWidth="9.140625" defaultRowHeight="15"/>
  <cols>
    <col min="1" max="1" width="77.8515625" style="0" customWidth="1"/>
    <col min="2" max="2" width="12.8515625" style="0" customWidth="1"/>
    <col min="3" max="3" width="12.57421875" style="0" customWidth="1"/>
    <col min="4" max="4" width="12.00390625" style="0" customWidth="1"/>
    <col min="5" max="5" width="12.57421875" style="0" customWidth="1"/>
    <col min="6" max="6" width="13.28125" style="0" customWidth="1"/>
  </cols>
  <sheetData>
    <row r="1" spans="1:4" ht="17.25">
      <c r="A1" s="98" t="s">
        <v>62</v>
      </c>
      <c r="B1" s="98"/>
      <c r="C1" s="98"/>
      <c r="D1" s="98"/>
    </row>
    <row r="2" spans="1:6" ht="37.5" customHeight="1">
      <c r="A2" s="99" t="s">
        <v>73</v>
      </c>
      <c r="B2" s="99"/>
      <c r="C2" s="99"/>
      <c r="D2" s="99"/>
      <c r="E2" s="99"/>
      <c r="F2" s="99"/>
    </row>
    <row r="3" spans="1:6" ht="15">
      <c r="A3" s="10"/>
      <c r="B3" s="11" t="s">
        <v>22</v>
      </c>
      <c r="C3" s="12" t="s">
        <v>23</v>
      </c>
      <c r="D3" s="2" t="s">
        <v>24</v>
      </c>
      <c r="E3" s="2" t="s">
        <v>39</v>
      </c>
      <c r="F3" s="2" t="s">
        <v>39</v>
      </c>
    </row>
    <row r="4" spans="1:6" ht="37.5" customHeight="1">
      <c r="A4" s="13"/>
      <c r="B4" s="14" t="s">
        <v>74</v>
      </c>
      <c r="C4" s="15" t="s">
        <v>74</v>
      </c>
      <c r="D4" s="15" t="s">
        <v>74</v>
      </c>
      <c r="E4" s="3" t="s">
        <v>40</v>
      </c>
      <c r="F4" s="15" t="s">
        <v>74</v>
      </c>
    </row>
    <row r="5" spans="1:6" ht="15">
      <c r="A5" s="16" t="s">
        <v>11</v>
      </c>
      <c r="B5" s="17" t="s">
        <v>1</v>
      </c>
      <c r="C5" s="18" t="s">
        <v>1</v>
      </c>
      <c r="D5" s="18" t="s">
        <v>1</v>
      </c>
      <c r="E5" s="4" t="s">
        <v>1</v>
      </c>
      <c r="F5" s="4" t="s">
        <v>1</v>
      </c>
    </row>
    <row r="6" spans="1:6" ht="16.5" customHeight="1">
      <c r="A6" s="19" t="s">
        <v>2</v>
      </c>
      <c r="B6" s="20" t="s">
        <v>1</v>
      </c>
      <c r="C6" s="21" t="s">
        <v>1</v>
      </c>
      <c r="D6" s="21" t="s">
        <v>1</v>
      </c>
      <c r="E6" s="5" t="s">
        <v>1</v>
      </c>
      <c r="F6" s="5" t="s">
        <v>1</v>
      </c>
    </row>
    <row r="7" spans="1:6" ht="18" customHeight="1">
      <c r="A7" s="22" t="s">
        <v>49</v>
      </c>
      <c r="B7" s="80">
        <v>104.5</v>
      </c>
      <c r="C7" s="42">
        <v>104.2</v>
      </c>
      <c r="D7" s="47">
        <v>102.4</v>
      </c>
      <c r="E7" s="42">
        <v>106.8</v>
      </c>
      <c r="F7" s="42">
        <v>105.5</v>
      </c>
    </row>
    <row r="8" spans="1:6" ht="18.75" customHeight="1">
      <c r="A8" s="23" t="s">
        <v>50</v>
      </c>
      <c r="B8" s="46">
        <v>123</v>
      </c>
      <c r="C8" s="48">
        <v>123.3</v>
      </c>
      <c r="D8" s="48">
        <v>124.1</v>
      </c>
      <c r="E8" s="42">
        <v>53.5</v>
      </c>
      <c r="F8" s="42">
        <v>118.7</v>
      </c>
    </row>
    <row r="9" spans="1:6" ht="19.5" customHeight="1">
      <c r="A9" s="19" t="s">
        <v>3</v>
      </c>
      <c r="B9" s="49">
        <v>799214.4</v>
      </c>
      <c r="C9" s="49">
        <v>827878.9</v>
      </c>
      <c r="D9" s="49">
        <v>898717</v>
      </c>
      <c r="E9" s="41">
        <v>108122.5</v>
      </c>
      <c r="F9" s="41">
        <v>1038737.6</v>
      </c>
    </row>
    <row r="10" spans="1:6" ht="18" customHeight="1">
      <c r="A10" s="23" t="s">
        <v>51</v>
      </c>
      <c r="B10" s="51">
        <v>100.9</v>
      </c>
      <c r="C10" s="51">
        <v>104.4</v>
      </c>
      <c r="D10" s="51">
        <v>107</v>
      </c>
      <c r="E10" s="42">
        <v>111.1</v>
      </c>
      <c r="F10" s="42">
        <v>112.4</v>
      </c>
    </row>
    <row r="11" spans="1:6" ht="15">
      <c r="A11" s="26" t="s">
        <v>52</v>
      </c>
      <c r="B11" s="52">
        <v>91.2</v>
      </c>
      <c r="C11" s="52">
        <v>100.6</v>
      </c>
      <c r="D11" s="52">
        <v>102</v>
      </c>
      <c r="E11" s="42">
        <v>76.1</v>
      </c>
      <c r="F11" s="42">
        <v>99.1</v>
      </c>
    </row>
    <row r="12" spans="1:8" ht="17.25" customHeight="1">
      <c r="A12" s="19" t="s">
        <v>20</v>
      </c>
      <c r="B12" s="49">
        <v>482935.6</v>
      </c>
      <c r="C12" s="49">
        <v>504873</v>
      </c>
      <c r="D12" s="49">
        <v>509905</v>
      </c>
      <c r="E12" s="41">
        <v>16016.9</v>
      </c>
      <c r="F12" s="41">
        <v>459904.3</v>
      </c>
      <c r="G12" s="1"/>
      <c r="H12" s="1"/>
    </row>
    <row r="13" spans="1:6" ht="16.5" customHeight="1">
      <c r="A13" s="23" t="s">
        <v>53</v>
      </c>
      <c r="B13" s="51">
        <v>104.9</v>
      </c>
      <c r="C13" s="51">
        <v>113.5</v>
      </c>
      <c r="D13" s="51">
        <v>104.1</v>
      </c>
      <c r="E13" s="42">
        <v>100.2</v>
      </c>
      <c r="F13" s="42">
        <v>90.6</v>
      </c>
    </row>
    <row r="14" spans="1:6" ht="15">
      <c r="A14" s="26" t="s">
        <v>52</v>
      </c>
      <c r="B14" s="52">
        <v>197.4</v>
      </c>
      <c r="C14" s="52">
        <v>205.9</v>
      </c>
      <c r="D14" s="52">
        <v>216.3</v>
      </c>
      <c r="E14" s="42">
        <v>21.8</v>
      </c>
      <c r="F14" s="42">
        <v>165</v>
      </c>
    </row>
    <row r="15" spans="1:6" ht="17.25" customHeight="1">
      <c r="A15" s="19" t="s">
        <v>4</v>
      </c>
      <c r="B15" s="49">
        <v>198373</v>
      </c>
      <c r="C15" s="49">
        <v>211043.2</v>
      </c>
      <c r="D15" s="49">
        <v>196731.8</v>
      </c>
      <c r="E15" s="41">
        <v>7556.2</v>
      </c>
      <c r="F15" s="41">
        <v>179927</v>
      </c>
    </row>
    <row r="16" spans="1:6" ht="17.25" customHeight="1">
      <c r="A16" s="23" t="s">
        <v>51</v>
      </c>
      <c r="B16" s="51">
        <v>100.4</v>
      </c>
      <c r="C16" s="51">
        <v>100.2</v>
      </c>
      <c r="D16" s="51">
        <v>92.5</v>
      </c>
      <c r="E16" s="42">
        <v>94.7</v>
      </c>
      <c r="F16" s="42">
        <v>92</v>
      </c>
    </row>
    <row r="17" spans="1:6" ht="15">
      <c r="A17" s="26" t="s">
        <v>54</v>
      </c>
      <c r="B17" s="52">
        <v>112.3</v>
      </c>
      <c r="C17" s="52">
        <v>111.9</v>
      </c>
      <c r="D17" s="52">
        <v>112.6</v>
      </c>
      <c r="E17" s="42">
        <v>9.8</v>
      </c>
      <c r="F17" s="42">
        <v>111.1</v>
      </c>
    </row>
    <row r="18" spans="1:6" ht="18.75" customHeight="1">
      <c r="A18" s="19" t="s">
        <v>65</v>
      </c>
      <c r="B18" s="49">
        <v>6332.6</v>
      </c>
      <c r="C18" s="49">
        <v>6446.1</v>
      </c>
      <c r="D18" s="49">
        <v>12199</v>
      </c>
      <c r="E18" s="41">
        <v>1600.1</v>
      </c>
      <c r="F18" s="41">
        <v>17460.6</v>
      </c>
    </row>
    <row r="19" spans="1:6" ht="17.25" customHeight="1">
      <c r="A19" s="23" t="s">
        <v>49</v>
      </c>
      <c r="B19" s="54">
        <v>82.2</v>
      </c>
      <c r="C19" s="54">
        <v>102.5</v>
      </c>
      <c r="D19" s="54">
        <v>185.1</v>
      </c>
      <c r="E19" s="42">
        <v>193.8</v>
      </c>
      <c r="F19" s="42">
        <v>143.1</v>
      </c>
    </row>
    <row r="20" spans="1:6" ht="15">
      <c r="A20" s="26" t="s">
        <v>54</v>
      </c>
      <c r="B20" s="54">
        <v>98.8</v>
      </c>
      <c r="C20" s="54">
        <v>81.9</v>
      </c>
      <c r="D20" s="54">
        <v>100</v>
      </c>
      <c r="E20" s="42">
        <v>75.3</v>
      </c>
      <c r="F20" s="42">
        <v>87.3</v>
      </c>
    </row>
    <row r="21" spans="1:6" ht="30.75" customHeight="1">
      <c r="A21" s="19" t="s">
        <v>5</v>
      </c>
      <c r="B21" s="49">
        <v>147534.3</v>
      </c>
      <c r="C21" s="49">
        <v>137132.8</v>
      </c>
      <c r="D21" s="41">
        <v>135801.8</v>
      </c>
      <c r="E21" s="41">
        <v>14439.6</v>
      </c>
      <c r="F21" s="41">
        <v>131390.4</v>
      </c>
    </row>
    <row r="22" spans="1:6" ht="17.25" customHeight="1">
      <c r="A22" s="23" t="s">
        <v>55</v>
      </c>
      <c r="B22" s="54">
        <v>93</v>
      </c>
      <c r="C22" s="54">
        <v>92.9</v>
      </c>
      <c r="D22" s="54">
        <v>99</v>
      </c>
      <c r="E22" s="42">
        <v>95.5</v>
      </c>
      <c r="F22" s="42">
        <v>96.8</v>
      </c>
    </row>
    <row r="23" spans="1:6" ht="15">
      <c r="A23" s="26" t="s">
        <v>54</v>
      </c>
      <c r="B23" s="54">
        <v>97.2</v>
      </c>
      <c r="C23" s="54">
        <v>95.8</v>
      </c>
      <c r="D23" s="54">
        <v>100</v>
      </c>
      <c r="E23" s="42">
        <v>83</v>
      </c>
      <c r="F23" s="42">
        <v>97.1</v>
      </c>
    </row>
    <row r="24" spans="1:6" ht="31.5" customHeight="1">
      <c r="A24" s="19" t="s">
        <v>6</v>
      </c>
      <c r="B24" s="49">
        <v>119178.8</v>
      </c>
      <c r="C24" s="49">
        <v>111716.4</v>
      </c>
      <c r="D24" s="41">
        <v>88574</v>
      </c>
      <c r="E24" s="41">
        <v>11238.8</v>
      </c>
      <c r="F24" s="41">
        <v>101985.3</v>
      </c>
    </row>
    <row r="25" spans="1:6" ht="18" customHeight="1">
      <c r="A25" s="23" t="s">
        <v>53</v>
      </c>
      <c r="B25" s="51">
        <v>100.2</v>
      </c>
      <c r="C25" s="51">
        <v>93.7</v>
      </c>
      <c r="D25" s="52">
        <v>92.7</v>
      </c>
      <c r="E25" s="42">
        <v>92</v>
      </c>
      <c r="F25" s="42">
        <v>92.1</v>
      </c>
    </row>
    <row r="26" spans="1:6" ht="15">
      <c r="A26" s="26" t="s">
        <v>52</v>
      </c>
      <c r="B26" s="52">
        <v>98.9</v>
      </c>
      <c r="C26" s="52">
        <v>100.6</v>
      </c>
      <c r="D26" s="52">
        <v>102.4</v>
      </c>
      <c r="E26" s="42">
        <v>87.9</v>
      </c>
      <c r="F26" s="42">
        <v>101.7</v>
      </c>
    </row>
    <row r="27" spans="1:6" ht="17.25" customHeight="1">
      <c r="A27" s="19" t="s">
        <v>7</v>
      </c>
      <c r="B27" s="49">
        <v>1423617.4</v>
      </c>
      <c r="C27" s="49">
        <v>1409727.4</v>
      </c>
      <c r="D27" s="49">
        <v>1365728</v>
      </c>
      <c r="E27" s="41">
        <v>128759.3</v>
      </c>
      <c r="F27" s="55">
        <v>1565012.7</v>
      </c>
    </row>
    <row r="28" spans="1:6" ht="18.75" customHeight="1">
      <c r="A28" s="23" t="s">
        <v>53</v>
      </c>
      <c r="B28" s="53">
        <v>105.7</v>
      </c>
      <c r="C28" s="53">
        <v>94.6</v>
      </c>
      <c r="D28" s="53">
        <v>99.6</v>
      </c>
      <c r="E28" s="48">
        <v>109.2</v>
      </c>
      <c r="F28" s="48">
        <v>112.3</v>
      </c>
    </row>
    <row r="29" spans="1:6" ht="15">
      <c r="A29" s="26" t="s">
        <v>52</v>
      </c>
      <c r="B29" s="53">
        <v>103.8</v>
      </c>
      <c r="C29" s="53">
        <v>97</v>
      </c>
      <c r="D29" s="53">
        <v>96.2</v>
      </c>
      <c r="E29" s="48">
        <v>43.7</v>
      </c>
      <c r="F29" s="48">
        <v>97.8</v>
      </c>
    </row>
    <row r="30" spans="1:6" ht="15">
      <c r="A30" s="29" t="s">
        <v>15</v>
      </c>
      <c r="B30" s="24">
        <v>695765.4</v>
      </c>
      <c r="C30" s="24">
        <v>742567.2</v>
      </c>
      <c r="D30" s="24">
        <v>802115.3</v>
      </c>
      <c r="E30" s="41">
        <v>96249</v>
      </c>
      <c r="F30" s="41">
        <v>904143.3</v>
      </c>
    </row>
    <row r="31" spans="1:6" ht="18" customHeight="1">
      <c r="A31" s="23" t="s">
        <v>53</v>
      </c>
      <c r="B31" s="54">
        <v>106.2</v>
      </c>
      <c r="C31" s="54" t="s">
        <v>80</v>
      </c>
      <c r="D31" s="54">
        <v>108</v>
      </c>
      <c r="E31" s="42">
        <v>112.3</v>
      </c>
      <c r="F31" s="42">
        <v>112.4</v>
      </c>
    </row>
    <row r="32" spans="1:6" ht="15">
      <c r="A32" s="26" t="s">
        <v>52</v>
      </c>
      <c r="B32" s="52">
        <v>96.3</v>
      </c>
      <c r="C32" s="52">
        <v>96.8</v>
      </c>
      <c r="D32" s="52">
        <v>105</v>
      </c>
      <c r="E32" s="42">
        <v>79.4</v>
      </c>
      <c r="F32" s="42">
        <v>102.9</v>
      </c>
    </row>
    <row r="33" spans="1:6" ht="15">
      <c r="A33" s="30" t="s">
        <v>12</v>
      </c>
      <c r="B33" s="18" t="s">
        <v>1</v>
      </c>
      <c r="C33" s="18" t="s">
        <v>1</v>
      </c>
      <c r="D33" s="18" t="s">
        <v>1</v>
      </c>
      <c r="E33" s="4" t="s">
        <v>1</v>
      </c>
      <c r="F33" s="4" t="s">
        <v>1</v>
      </c>
    </row>
    <row r="34" spans="1:6" ht="18.75" customHeight="1">
      <c r="A34" s="19" t="s">
        <v>16</v>
      </c>
      <c r="B34" s="31" t="s">
        <v>1</v>
      </c>
      <c r="C34" s="31" t="s">
        <v>1</v>
      </c>
      <c r="D34" s="31" t="s">
        <v>1</v>
      </c>
      <c r="E34" s="8" t="s">
        <v>1</v>
      </c>
      <c r="F34" s="8" t="s">
        <v>1</v>
      </c>
    </row>
    <row r="35" spans="1:6" ht="18" customHeight="1">
      <c r="A35" s="32" t="s">
        <v>56</v>
      </c>
      <c r="B35" s="54">
        <v>101</v>
      </c>
      <c r="C35" s="54">
        <v>101.6</v>
      </c>
      <c r="D35" s="54">
        <v>96.1</v>
      </c>
      <c r="E35" s="42">
        <v>102.8</v>
      </c>
      <c r="F35" s="42">
        <v>98.4</v>
      </c>
    </row>
    <row r="36" spans="1:6" ht="19.5" customHeight="1">
      <c r="A36" s="33" t="s">
        <v>28</v>
      </c>
      <c r="B36" s="54">
        <v>103.1</v>
      </c>
      <c r="C36" s="54">
        <v>104.8</v>
      </c>
      <c r="D36" s="54">
        <v>98.4</v>
      </c>
      <c r="E36" s="42">
        <v>99.4</v>
      </c>
      <c r="F36" s="42">
        <v>100.6</v>
      </c>
    </row>
    <row r="37" spans="1:6" ht="19.5" customHeight="1">
      <c r="A37" s="34" t="s">
        <v>29</v>
      </c>
      <c r="B37" s="54">
        <v>100.7</v>
      </c>
      <c r="C37" s="54">
        <v>100.1</v>
      </c>
      <c r="D37" s="54">
        <v>99.5</v>
      </c>
      <c r="E37" s="42">
        <v>102.6</v>
      </c>
      <c r="F37" s="42">
        <v>99.6</v>
      </c>
    </row>
    <row r="38" spans="1:6" ht="15.75" customHeight="1">
      <c r="A38" s="34" t="s">
        <v>38</v>
      </c>
      <c r="B38" s="54">
        <v>98.8</v>
      </c>
      <c r="C38" s="54">
        <v>97.9</v>
      </c>
      <c r="D38" s="54">
        <v>96.2</v>
      </c>
      <c r="E38" s="42">
        <v>102.6</v>
      </c>
      <c r="F38" s="42">
        <v>98.2</v>
      </c>
    </row>
    <row r="39" spans="1:6" ht="15">
      <c r="A39" s="30" t="s">
        <v>13</v>
      </c>
      <c r="B39" s="18" t="s">
        <v>1</v>
      </c>
      <c r="C39" s="18" t="s">
        <v>1</v>
      </c>
      <c r="D39" s="18" t="s">
        <v>1</v>
      </c>
      <c r="E39" s="4" t="s">
        <v>1</v>
      </c>
      <c r="F39" s="4" t="s">
        <v>1</v>
      </c>
    </row>
    <row r="40" spans="1:6" ht="18" customHeight="1">
      <c r="A40" s="90" t="s">
        <v>0</v>
      </c>
      <c r="B40" s="93">
        <v>3777.9</v>
      </c>
      <c r="C40" s="93">
        <v>2978.3</v>
      </c>
      <c r="D40" s="93">
        <v>3118.9</v>
      </c>
      <c r="E40" s="91">
        <v>358.7</v>
      </c>
      <c r="F40" s="91">
        <v>3880.6</v>
      </c>
    </row>
    <row r="41" spans="1:6" ht="15.75" customHeight="1">
      <c r="A41" s="33" t="s">
        <v>28</v>
      </c>
      <c r="B41" s="48" t="s">
        <v>1</v>
      </c>
      <c r="C41" s="48" t="s">
        <v>1</v>
      </c>
      <c r="D41" s="48" t="s">
        <v>1</v>
      </c>
      <c r="E41" s="48" t="s">
        <v>1</v>
      </c>
      <c r="F41" s="48">
        <v>124.4</v>
      </c>
    </row>
    <row r="42" spans="1:6" ht="15">
      <c r="A42" s="34" t="s">
        <v>30</v>
      </c>
      <c r="B42" s="48" t="s">
        <v>1</v>
      </c>
      <c r="C42" s="48" t="s">
        <v>1</v>
      </c>
      <c r="D42" s="48" t="s">
        <v>1</v>
      </c>
      <c r="E42" s="57" t="s">
        <v>1</v>
      </c>
      <c r="F42" s="48">
        <v>115.6</v>
      </c>
    </row>
    <row r="43" spans="1:6" ht="15">
      <c r="A43" s="43" t="s">
        <v>75</v>
      </c>
      <c r="B43" s="105">
        <v>963</v>
      </c>
      <c r="C43" s="105">
        <v>949.8</v>
      </c>
      <c r="D43" s="106">
        <v>1136.9</v>
      </c>
      <c r="E43" s="7">
        <v>121.5</v>
      </c>
      <c r="F43" s="41">
        <v>1383.2</v>
      </c>
    </row>
    <row r="44" spans="1:6" ht="17.25" customHeight="1">
      <c r="A44" s="33" t="s">
        <v>28</v>
      </c>
      <c r="B44" s="48" t="s">
        <v>1</v>
      </c>
      <c r="C44" s="48" t="s">
        <v>1</v>
      </c>
      <c r="D44" s="48" t="s">
        <v>1</v>
      </c>
      <c r="E44" s="58" t="s">
        <v>1</v>
      </c>
      <c r="F44" s="47">
        <v>121.7</v>
      </c>
    </row>
    <row r="45" spans="1:6" ht="15">
      <c r="A45" s="34" t="s">
        <v>30</v>
      </c>
      <c r="B45" s="48" t="s">
        <v>1</v>
      </c>
      <c r="C45" s="48" t="s">
        <v>1</v>
      </c>
      <c r="D45" s="48" t="s">
        <v>1</v>
      </c>
      <c r="E45" s="48" t="s">
        <v>1</v>
      </c>
      <c r="F45" s="48">
        <v>121.8</v>
      </c>
    </row>
    <row r="46" spans="1:6" ht="15">
      <c r="A46" s="29" t="s">
        <v>76</v>
      </c>
      <c r="B46" s="28">
        <v>2814.8</v>
      </c>
      <c r="C46" s="28">
        <v>2028.5</v>
      </c>
      <c r="D46" s="106">
        <v>1982</v>
      </c>
      <c r="E46" s="59">
        <v>237.2</v>
      </c>
      <c r="F46" s="73">
        <v>2497.4</v>
      </c>
    </row>
    <row r="47" spans="1:6" ht="17.25" customHeight="1">
      <c r="A47" s="33" t="s">
        <v>28</v>
      </c>
      <c r="B47" s="48" t="s">
        <v>1</v>
      </c>
      <c r="C47" s="48" t="s">
        <v>1</v>
      </c>
      <c r="D47" s="48" t="s">
        <v>1</v>
      </c>
      <c r="E47" s="58" t="s">
        <v>1</v>
      </c>
      <c r="F47" s="58">
        <v>126</v>
      </c>
    </row>
    <row r="48" spans="1:6" ht="15">
      <c r="A48" s="34" t="s">
        <v>30</v>
      </c>
      <c r="B48" s="48" t="s">
        <v>1</v>
      </c>
      <c r="C48" s="48" t="s">
        <v>1</v>
      </c>
      <c r="D48" s="48" t="s">
        <v>1</v>
      </c>
      <c r="E48" s="60" t="s">
        <v>1</v>
      </c>
      <c r="F48" s="60">
        <v>112.2</v>
      </c>
    </row>
    <row r="49" spans="1:6" ht="15">
      <c r="A49" s="29" t="s">
        <v>8</v>
      </c>
      <c r="B49" s="96">
        <v>-1851.8</v>
      </c>
      <c r="C49" s="95">
        <v>-1078.6</v>
      </c>
      <c r="D49" s="94">
        <v>-845</v>
      </c>
      <c r="E49" s="25">
        <v>-115.8</v>
      </c>
      <c r="F49" s="92">
        <v>-1114.2</v>
      </c>
    </row>
    <row r="50" spans="1:6" ht="15">
      <c r="A50" s="30" t="s">
        <v>14</v>
      </c>
      <c r="B50" s="18" t="s">
        <v>1</v>
      </c>
      <c r="C50" s="18" t="s">
        <v>1</v>
      </c>
      <c r="D50" s="18" t="s">
        <v>1</v>
      </c>
      <c r="E50" s="4" t="s">
        <v>1</v>
      </c>
      <c r="F50" s="4" t="s">
        <v>1</v>
      </c>
    </row>
    <row r="51" spans="1:6" ht="24" customHeight="1">
      <c r="A51" s="35" t="s">
        <v>36</v>
      </c>
      <c r="B51" s="55">
        <v>68400</v>
      </c>
      <c r="C51" s="61">
        <v>86866</v>
      </c>
      <c r="D51" s="55">
        <v>95784</v>
      </c>
      <c r="E51" s="55">
        <v>95811</v>
      </c>
      <c r="F51" s="55">
        <v>89355</v>
      </c>
    </row>
    <row r="52" spans="1:6" ht="15">
      <c r="A52" s="26" t="s">
        <v>57</v>
      </c>
      <c r="B52" s="62">
        <v>101</v>
      </c>
      <c r="C52" s="64">
        <v>127.1</v>
      </c>
      <c r="D52" s="63">
        <v>110.3</v>
      </c>
      <c r="E52" s="65">
        <v>107.2</v>
      </c>
      <c r="F52" s="65">
        <v>93.3</v>
      </c>
    </row>
    <row r="53" spans="1:6" ht="15">
      <c r="A53" s="36" t="s">
        <v>58</v>
      </c>
      <c r="B53" s="62">
        <v>65000</v>
      </c>
      <c r="C53" s="64">
        <v>74241</v>
      </c>
      <c r="D53" s="63">
        <v>76958</v>
      </c>
      <c r="E53" s="47">
        <v>80576</v>
      </c>
      <c r="F53" s="47">
        <v>74444</v>
      </c>
    </row>
    <row r="54" spans="1:6" ht="21" customHeight="1">
      <c r="A54" s="26" t="s">
        <v>59</v>
      </c>
      <c r="B54" s="66">
        <v>115</v>
      </c>
      <c r="C54" s="66">
        <v>114.2</v>
      </c>
      <c r="D54" s="47">
        <v>103.7</v>
      </c>
      <c r="E54" s="65">
        <v>103.9</v>
      </c>
      <c r="F54" s="65">
        <v>96.7</v>
      </c>
    </row>
    <row r="55" spans="1:6" ht="32.25" customHeight="1">
      <c r="A55" s="37" t="s">
        <v>37</v>
      </c>
      <c r="B55" s="107">
        <v>64285</v>
      </c>
      <c r="C55" s="108">
        <v>74341</v>
      </c>
      <c r="D55" s="107">
        <v>76985</v>
      </c>
      <c r="E55" s="55">
        <v>80534</v>
      </c>
      <c r="F55" s="55">
        <v>74948</v>
      </c>
    </row>
    <row r="56" spans="1:6" ht="15">
      <c r="A56" s="23" t="s">
        <v>59</v>
      </c>
      <c r="B56" s="81">
        <v>112.4</v>
      </c>
      <c r="C56" s="82">
        <v>115.6</v>
      </c>
      <c r="D56" s="83">
        <v>103.6</v>
      </c>
      <c r="E56" s="42">
        <v>104.2</v>
      </c>
      <c r="F56" s="42">
        <v>97.4</v>
      </c>
    </row>
    <row r="57" spans="1:6" ht="34.5" customHeight="1">
      <c r="A57" s="19" t="s">
        <v>63</v>
      </c>
      <c r="B57" s="49">
        <v>170970</v>
      </c>
      <c r="C57" s="49">
        <v>183263</v>
      </c>
      <c r="D57" s="41">
        <v>184825</v>
      </c>
      <c r="E57" s="41">
        <v>180354</v>
      </c>
      <c r="F57" s="41">
        <v>191891</v>
      </c>
    </row>
    <row r="58" spans="1:6" ht="15">
      <c r="A58" s="34" t="s">
        <v>19</v>
      </c>
      <c r="B58" s="46" t="s">
        <v>1</v>
      </c>
      <c r="C58" s="84">
        <v>107.2</v>
      </c>
      <c r="D58" s="82">
        <v>100.9</v>
      </c>
      <c r="E58" s="42">
        <v>101.6</v>
      </c>
      <c r="F58" s="42">
        <v>103.8</v>
      </c>
    </row>
    <row r="59" spans="1:6" ht="15">
      <c r="A59" s="26" t="s">
        <v>17</v>
      </c>
      <c r="B59" s="85">
        <v>152885</v>
      </c>
      <c r="C59" s="86">
        <v>162400</v>
      </c>
      <c r="D59" s="87">
        <v>161021</v>
      </c>
      <c r="E59" s="67">
        <v>151534</v>
      </c>
      <c r="F59" s="67">
        <v>163521</v>
      </c>
    </row>
    <row r="60" spans="1:6" ht="15">
      <c r="A60" s="34" t="s">
        <v>19</v>
      </c>
      <c r="B60" s="46" t="s">
        <v>1</v>
      </c>
      <c r="C60" s="42">
        <v>106.2</v>
      </c>
      <c r="D60" s="82">
        <v>99.2</v>
      </c>
      <c r="E60" s="42">
        <v>98.1</v>
      </c>
      <c r="F60" s="42">
        <v>101.6</v>
      </c>
    </row>
    <row r="61" spans="1:6" ht="15">
      <c r="A61" s="26" t="s">
        <v>18</v>
      </c>
      <c r="B61" s="85">
        <v>195754</v>
      </c>
      <c r="C61" s="87" t="s">
        <v>79</v>
      </c>
      <c r="D61" s="88">
        <v>214598</v>
      </c>
      <c r="E61" s="67">
        <v>216804</v>
      </c>
      <c r="F61" s="67">
        <v>225300</v>
      </c>
    </row>
    <row r="62" spans="1:6" ht="15">
      <c r="A62" s="34" t="s">
        <v>19</v>
      </c>
      <c r="B62" s="46" t="s">
        <v>1</v>
      </c>
      <c r="C62" s="42">
        <v>108.1</v>
      </c>
      <c r="D62" s="82">
        <v>101.4</v>
      </c>
      <c r="E62" s="42">
        <v>103.3</v>
      </c>
      <c r="F62" s="42">
        <v>105</v>
      </c>
    </row>
    <row r="63" spans="1:6" ht="15">
      <c r="A63" s="30" t="s">
        <v>21</v>
      </c>
      <c r="B63" s="18" t="s">
        <v>1</v>
      </c>
      <c r="C63" s="18" t="s">
        <v>1</v>
      </c>
      <c r="D63" s="18" t="s">
        <v>1</v>
      </c>
      <c r="E63" s="4" t="s">
        <v>1</v>
      </c>
      <c r="F63" s="4" t="s">
        <v>1</v>
      </c>
    </row>
    <row r="64" spans="1:6" ht="30" customHeight="1">
      <c r="A64" s="19" t="s">
        <v>31</v>
      </c>
      <c r="B64" s="27">
        <v>475027</v>
      </c>
      <c r="C64" s="28">
        <v>445776</v>
      </c>
      <c r="D64" s="28">
        <v>452441</v>
      </c>
      <c r="E64" s="41">
        <v>610057</v>
      </c>
      <c r="F64" s="41">
        <v>616267</v>
      </c>
    </row>
    <row r="65" spans="1:6" ht="31.5" customHeight="1">
      <c r="A65" s="33" t="s">
        <v>33</v>
      </c>
      <c r="B65" s="56">
        <v>-10.8</v>
      </c>
      <c r="C65" s="52">
        <v>-6</v>
      </c>
      <c r="D65" s="52">
        <v>11.6</v>
      </c>
      <c r="E65" s="6" t="s">
        <v>1</v>
      </c>
      <c r="F65" s="6" t="s">
        <v>1</v>
      </c>
    </row>
    <row r="66" spans="1:6" ht="16.5" customHeight="1">
      <c r="A66" s="19" t="s">
        <v>32</v>
      </c>
      <c r="B66" s="27">
        <v>256260</v>
      </c>
      <c r="C66" s="28">
        <v>430859</v>
      </c>
      <c r="D66" s="28">
        <v>399844</v>
      </c>
      <c r="E66" s="41">
        <v>306333</v>
      </c>
      <c r="F66" s="41">
        <v>372706</v>
      </c>
    </row>
    <row r="67" spans="1:6" ht="32.25" customHeight="1">
      <c r="A67" s="33" t="s">
        <v>33</v>
      </c>
      <c r="B67" s="56">
        <v>0.6</v>
      </c>
      <c r="C67" s="56">
        <v>5.4</v>
      </c>
      <c r="D67" s="52">
        <v>-7.3</v>
      </c>
      <c r="E67" s="6" t="s">
        <v>1</v>
      </c>
      <c r="F67" s="6" t="s">
        <v>1</v>
      </c>
    </row>
    <row r="68" spans="1:6" ht="15">
      <c r="A68" s="19" t="s">
        <v>9</v>
      </c>
      <c r="B68" s="27">
        <v>731287</v>
      </c>
      <c r="C68" s="28">
        <v>876634</v>
      </c>
      <c r="D68" s="28">
        <v>852285</v>
      </c>
      <c r="E68" s="55">
        <v>916389</v>
      </c>
      <c r="F68" s="55">
        <v>988974</v>
      </c>
    </row>
    <row r="69" spans="1:6" ht="33" customHeight="1">
      <c r="A69" s="33" t="s">
        <v>33</v>
      </c>
      <c r="B69" s="56">
        <v>-7.1</v>
      </c>
      <c r="C69" s="52">
        <v>-0.8</v>
      </c>
      <c r="D69" s="52">
        <v>1.8</v>
      </c>
      <c r="E69" s="6" t="s">
        <v>1</v>
      </c>
      <c r="F69" s="6" t="s">
        <v>1</v>
      </c>
    </row>
    <row r="70" spans="1:6" ht="30.75" customHeight="1">
      <c r="A70" s="19" t="s">
        <v>34</v>
      </c>
      <c r="B70" s="21" t="s">
        <v>1</v>
      </c>
      <c r="C70" s="21" t="s">
        <v>1</v>
      </c>
      <c r="D70" s="21" t="s">
        <v>1</v>
      </c>
      <c r="E70" s="5" t="s">
        <v>1</v>
      </c>
      <c r="F70" s="5" t="s">
        <v>1</v>
      </c>
    </row>
    <row r="71" spans="1:6" ht="15">
      <c r="A71" s="23" t="s">
        <v>60</v>
      </c>
      <c r="B71" s="68">
        <v>17.12</v>
      </c>
      <c r="C71" s="56">
        <v>18.86</v>
      </c>
      <c r="D71" s="68">
        <v>17.44</v>
      </c>
      <c r="E71" s="6">
        <v>17.19</v>
      </c>
      <c r="F71" s="6">
        <v>14.01</v>
      </c>
    </row>
    <row r="72" spans="1:6" ht="17.25" customHeight="1">
      <c r="A72" s="23" t="s">
        <v>61</v>
      </c>
      <c r="B72" s="56">
        <v>10.68</v>
      </c>
      <c r="C72" s="56">
        <v>12.26</v>
      </c>
      <c r="D72" s="68">
        <v>12.04</v>
      </c>
      <c r="E72" s="6">
        <v>8.96</v>
      </c>
      <c r="F72" s="6">
        <v>9.42</v>
      </c>
    </row>
    <row r="73" spans="1:6" ht="33.75" customHeight="1">
      <c r="A73" s="19" t="s">
        <v>35</v>
      </c>
      <c r="B73" s="38">
        <v>6.75</v>
      </c>
      <c r="C73" s="38">
        <v>10.25</v>
      </c>
      <c r="D73" s="38">
        <v>7.25</v>
      </c>
      <c r="E73" s="5">
        <v>6.25</v>
      </c>
      <c r="F73" s="5">
        <v>6</v>
      </c>
    </row>
    <row r="74" spans="1:6" ht="15">
      <c r="A74" s="19" t="s">
        <v>10</v>
      </c>
      <c r="B74" s="21" t="s">
        <v>1</v>
      </c>
      <c r="C74" s="21" t="s">
        <v>1</v>
      </c>
      <c r="D74" s="21" t="s">
        <v>1</v>
      </c>
      <c r="E74" s="5" t="s">
        <v>1</v>
      </c>
      <c r="F74" s="5"/>
    </row>
    <row r="75" spans="1:6" ht="15">
      <c r="A75" s="34" t="s">
        <v>25</v>
      </c>
      <c r="B75" s="50">
        <v>411.03</v>
      </c>
      <c r="C75" s="50">
        <v>477.29</v>
      </c>
      <c r="D75" s="50">
        <v>481.89</v>
      </c>
      <c r="E75" s="9">
        <v>486.01</v>
      </c>
      <c r="F75" s="9">
        <v>483.13</v>
      </c>
    </row>
    <row r="76" spans="1:6" ht="15">
      <c r="A76" s="34" t="s">
        <v>26</v>
      </c>
      <c r="B76" s="50">
        <v>560.43</v>
      </c>
      <c r="C76" s="50">
        <v>531.9</v>
      </c>
      <c r="D76" s="50">
        <v>537.51</v>
      </c>
      <c r="E76" s="9">
        <v>518.15</v>
      </c>
      <c r="F76" s="9">
        <v>533.26</v>
      </c>
    </row>
    <row r="77" spans="1:6" ht="15">
      <c r="A77" s="34" t="s">
        <v>27</v>
      </c>
      <c r="B77" s="50">
        <v>11.71</v>
      </c>
      <c r="C77" s="50">
        <v>8.21</v>
      </c>
      <c r="D77" s="50">
        <v>7.02</v>
      </c>
      <c r="E77" s="9">
        <v>8.15</v>
      </c>
      <c r="F77" s="9">
        <v>8.29</v>
      </c>
    </row>
    <row r="78" spans="1:6" ht="15">
      <c r="A78" s="76" t="s">
        <v>66</v>
      </c>
      <c r="B78" s="18" t="s">
        <v>1</v>
      </c>
      <c r="C78" s="18" t="s">
        <v>1</v>
      </c>
      <c r="D78" s="18" t="s">
        <v>1</v>
      </c>
      <c r="E78" s="4" t="s">
        <v>1</v>
      </c>
      <c r="F78" s="4" t="s">
        <v>1</v>
      </c>
    </row>
    <row r="79" spans="1:6" ht="15">
      <c r="A79" s="29" t="s">
        <v>67</v>
      </c>
      <c r="B79" s="109">
        <v>726710.2</v>
      </c>
      <c r="C79" s="109">
        <v>740384.7</v>
      </c>
      <c r="D79" s="109">
        <v>742174.9</v>
      </c>
      <c r="E79" s="5" t="s">
        <v>1</v>
      </c>
      <c r="F79" s="77">
        <v>779678.7</v>
      </c>
    </row>
    <row r="80" spans="1:6" ht="15">
      <c r="A80" s="29" t="s">
        <v>68</v>
      </c>
      <c r="B80" s="109">
        <v>720742.1</v>
      </c>
      <c r="C80" s="109">
        <v>837423.2</v>
      </c>
      <c r="D80" s="109">
        <v>848226.2</v>
      </c>
      <c r="E80" s="5" t="s">
        <v>1</v>
      </c>
      <c r="F80" s="7">
        <v>851332.8</v>
      </c>
    </row>
    <row r="81" spans="1:6" ht="15">
      <c r="A81" s="29" t="s">
        <v>69</v>
      </c>
      <c r="B81" s="109">
        <v>5968.1</v>
      </c>
      <c r="C81" s="109">
        <v>-97038.5</v>
      </c>
      <c r="D81" s="109">
        <v>-106051.3</v>
      </c>
      <c r="E81" s="5" t="s">
        <v>1</v>
      </c>
      <c r="F81" s="7">
        <v>-71654.1</v>
      </c>
    </row>
    <row r="82" spans="1:6" ht="15">
      <c r="A82" s="34" t="s">
        <v>70</v>
      </c>
      <c r="B82" s="89">
        <v>-5968.1</v>
      </c>
      <c r="C82" s="89">
        <v>97038.5</v>
      </c>
      <c r="D82" s="89">
        <v>106051.3</v>
      </c>
      <c r="E82" s="15" t="s">
        <v>1</v>
      </c>
      <c r="F82" s="78">
        <v>71654.1</v>
      </c>
    </row>
    <row r="83" spans="1:6" ht="15">
      <c r="A83" s="34" t="s">
        <v>71</v>
      </c>
      <c r="B83" s="89">
        <v>21551.5</v>
      </c>
      <c r="C83" s="89">
        <v>-23966.1</v>
      </c>
      <c r="D83" s="89">
        <v>117411.2</v>
      </c>
      <c r="E83" s="15" t="s">
        <v>1</v>
      </c>
      <c r="F83" s="78">
        <v>92198.6</v>
      </c>
    </row>
    <row r="84" spans="1:6" ht="15">
      <c r="A84" s="34" t="s">
        <v>72</v>
      </c>
      <c r="B84" s="89">
        <v>-27519.6</v>
      </c>
      <c r="C84" s="89">
        <v>121004.6</v>
      </c>
      <c r="D84" s="89">
        <v>-11359.9</v>
      </c>
      <c r="E84" s="15" t="s">
        <v>1</v>
      </c>
      <c r="F84" s="78">
        <v>-20544.5</v>
      </c>
    </row>
    <row r="85" spans="1:6" ht="42.75" customHeight="1">
      <c r="A85" s="100" t="s">
        <v>41</v>
      </c>
      <c r="B85" s="101"/>
      <c r="C85" s="101"/>
      <c r="D85" s="101"/>
      <c r="E85" s="101"/>
      <c r="F85" s="102"/>
    </row>
    <row r="86" spans="1:7" ht="29.25" customHeight="1">
      <c r="A86" s="39" t="s">
        <v>42</v>
      </c>
      <c r="B86" s="70">
        <f>953380+235169+226353</f>
        <v>1414902</v>
      </c>
      <c r="C86" s="70">
        <f>682685+179653+159779</f>
        <v>1022117</v>
      </c>
      <c r="D86" s="70">
        <f>622483+145595+146294</f>
        <v>914372</v>
      </c>
      <c r="E86" s="69">
        <v>84327.9591507364</v>
      </c>
      <c r="F86" s="70">
        <f>724760+175122+174509</f>
        <v>1074391</v>
      </c>
      <c r="G86" s="79"/>
    </row>
    <row r="87" spans="1:6" ht="15">
      <c r="A87" s="40" t="s">
        <v>43</v>
      </c>
      <c r="B87" s="71">
        <f>691431+186589+167757</f>
        <v>1045777</v>
      </c>
      <c r="C87" s="71">
        <f>415380+117611+92811</f>
        <v>625802</v>
      </c>
      <c r="D87" s="71">
        <f>353738+95998+100766</f>
        <v>550502</v>
      </c>
      <c r="E87" s="44">
        <v>43552.7910677132</v>
      </c>
      <c r="F87" s="71">
        <f>408621+114469+118932</f>
        <v>642022</v>
      </c>
    </row>
    <row r="88" spans="1:6" ht="15">
      <c r="A88" s="40" t="s">
        <v>44</v>
      </c>
      <c r="B88" s="71">
        <f>67626+14227+12046</f>
        <v>93899</v>
      </c>
      <c r="C88" s="71">
        <f>84058+17246+14387</f>
        <v>115691</v>
      </c>
      <c r="D88" s="71">
        <f>81834+14220+15646</f>
        <v>111700</v>
      </c>
      <c r="E88" s="44">
        <v>10749.543225417397</v>
      </c>
      <c r="F88" s="71">
        <f>83549+14097+15740</f>
        <v>113386</v>
      </c>
    </row>
    <row r="89" spans="1:6" ht="15">
      <c r="A89" s="39" t="s">
        <v>45</v>
      </c>
      <c r="B89" s="70">
        <f>405224+87561+85211</f>
        <v>577996</v>
      </c>
      <c r="C89" s="70">
        <f>350309+64913+57365</f>
        <v>472587</v>
      </c>
      <c r="D89" s="70">
        <f>368381+56365+60116</f>
        <v>484862</v>
      </c>
      <c r="E89" s="45">
        <v>42647.11532090715</v>
      </c>
      <c r="F89" s="70">
        <f>442487+84985+76947</f>
        <v>604419</v>
      </c>
    </row>
    <row r="90" spans="1:6" ht="15">
      <c r="A90" s="40" t="s">
        <v>43</v>
      </c>
      <c r="B90" s="71">
        <f>114391+21571+19912</f>
        <v>155874</v>
      </c>
      <c r="C90" s="71">
        <f>122983+22801+21529</f>
        <v>167313</v>
      </c>
      <c r="D90" s="71">
        <f>168051+22950+22317</f>
        <v>213318</v>
      </c>
      <c r="E90" s="44">
        <v>16661.29911872136</v>
      </c>
      <c r="F90" s="71">
        <f>178587+28982+24922</f>
        <v>232491</v>
      </c>
    </row>
    <row r="91" spans="1:6" ht="15">
      <c r="A91" s="40" t="s">
        <v>44</v>
      </c>
      <c r="B91" s="71">
        <f>70568+23936+12563</f>
        <v>107067</v>
      </c>
      <c r="C91" s="71">
        <f>48167+8099+7566</f>
        <v>63832</v>
      </c>
      <c r="D91" s="71">
        <f>38588+5720+7660</f>
        <v>51968</v>
      </c>
      <c r="E91" s="44">
        <v>5698.87881</v>
      </c>
      <c r="F91" s="71">
        <f>74583+11409+10201</f>
        <v>96193</v>
      </c>
    </row>
    <row r="92" spans="1:6" ht="15">
      <c r="A92" s="39" t="s">
        <v>46</v>
      </c>
      <c r="B92" s="70">
        <f>548156+147607+141142</f>
        <v>836905</v>
      </c>
      <c r="C92" s="70">
        <f>332376+114740+102414</f>
        <v>549530</v>
      </c>
      <c r="D92" s="70">
        <f>254102+89229+86178</f>
        <v>429509</v>
      </c>
      <c r="E92" s="45">
        <v>41680.8438298292</v>
      </c>
      <c r="F92" s="70">
        <f>282272+90138+97562</f>
        <v>469972</v>
      </c>
    </row>
    <row r="93" spans="1:6" ht="15">
      <c r="A93" s="40" t="s">
        <v>43</v>
      </c>
      <c r="B93" s="71">
        <f>577039+165018+147845</f>
        <v>889902</v>
      </c>
      <c r="C93" s="71">
        <f>292397+94810+71282</f>
        <v>458489</v>
      </c>
      <c r="D93" s="71">
        <f>185687+73048+78449</f>
        <v>337184</v>
      </c>
      <c r="E93" s="44">
        <v>26891.491948991865</v>
      </c>
      <c r="F93" s="71">
        <f>230033+85487+94010</f>
        <v>409530</v>
      </c>
    </row>
    <row r="94" spans="1:6" ht="15">
      <c r="A94" s="40" t="s">
        <v>44</v>
      </c>
      <c r="B94" s="72">
        <f>2941-9709-516</f>
        <v>-7284</v>
      </c>
      <c r="C94" s="71">
        <f>35891+9148+6821</f>
        <v>51860</v>
      </c>
      <c r="D94" s="71">
        <f>43246+8499+7986</f>
        <v>59731</v>
      </c>
      <c r="E94" s="44">
        <v>5050.664415417397</v>
      </c>
      <c r="F94" s="71">
        <f>8966+2688+5538</f>
        <v>17192</v>
      </c>
    </row>
    <row r="95" spans="1:6" ht="33.75" customHeight="1">
      <c r="A95" s="100" t="s">
        <v>47</v>
      </c>
      <c r="B95" s="101"/>
      <c r="C95" s="101"/>
      <c r="D95" s="101"/>
      <c r="E95" s="101"/>
      <c r="F95" s="102"/>
    </row>
    <row r="96" spans="1:6" ht="18.75" customHeight="1">
      <c r="A96" s="39" t="s">
        <v>48</v>
      </c>
      <c r="B96" s="70">
        <f>392900+95347+92692</f>
        <v>580939</v>
      </c>
      <c r="C96" s="70">
        <f>325479+85695+76694</f>
        <v>487868</v>
      </c>
      <c r="D96" s="70">
        <f>300872+69368+69564</f>
        <v>439804</v>
      </c>
      <c r="E96" s="45">
        <v>40981.6297516763</v>
      </c>
      <c r="F96" s="70">
        <f>350966+83891+83534</f>
        <v>518391</v>
      </c>
    </row>
    <row r="97" spans="1:6" ht="15">
      <c r="A97" s="40" t="s">
        <v>43</v>
      </c>
      <c r="B97" s="71">
        <f>284933+75572+68679</f>
        <v>429184</v>
      </c>
      <c r="C97" s="71">
        <f>198037+56079+44488</f>
        <v>298604</v>
      </c>
      <c r="D97" s="71">
        <f>170782+45735+47920</f>
        <v>264437</v>
      </c>
      <c r="E97" s="44">
        <v>21170.39631017299</v>
      </c>
      <c r="F97" s="71">
        <f>197846+54836+56937</f>
        <v>309619</v>
      </c>
    </row>
    <row r="98" spans="1:6" ht="15">
      <c r="A98" s="40" t="s">
        <v>44</v>
      </c>
      <c r="B98" s="71">
        <f>27866+5793+4933</f>
        <v>38592</v>
      </c>
      <c r="C98" s="71">
        <f>40068+8231+6900</f>
        <v>55199</v>
      </c>
      <c r="D98" s="71">
        <f>39584+6776+7440</f>
        <v>53800</v>
      </c>
      <c r="E98" s="44">
        <v>5221.820672990402</v>
      </c>
      <c r="F98" s="71">
        <f>40483+6754+7533</f>
        <v>54770</v>
      </c>
    </row>
    <row r="99" spans="1:6" ht="15">
      <c r="A99" s="39" t="s">
        <v>45</v>
      </c>
      <c r="B99" s="70">
        <f>167024+35639+34896</f>
        <v>237559</v>
      </c>
      <c r="C99" s="70">
        <f>167083+30971+27530</f>
        <v>225584</v>
      </c>
      <c r="D99" s="70">
        <f>178275+26858+28585</f>
        <v>233718</v>
      </c>
      <c r="E99" s="45">
        <v>20727.5204167578</v>
      </c>
      <c r="F99" s="70">
        <f>214350+40715+36830</f>
        <v>291895</v>
      </c>
    </row>
    <row r="100" spans="1:6" ht="15">
      <c r="A100" s="40" t="s">
        <v>43</v>
      </c>
      <c r="B100" s="71">
        <f>47155+8781+8156</f>
        <v>64092</v>
      </c>
      <c r="C100" s="71">
        <f>58657+10880+10328</f>
        <v>79865</v>
      </c>
      <c r="D100" s="71">
        <f>81375+10935+10611</f>
        <v>102921</v>
      </c>
      <c r="E100" s="44">
        <v>8100.1358055473975</v>
      </c>
      <c r="F100" s="71">
        <f>86503+13886+11929</f>
        <v>112318</v>
      </c>
    </row>
    <row r="101" spans="1:6" ht="15">
      <c r="A101" s="40" t="s">
        <v>44</v>
      </c>
      <c r="B101" s="71">
        <f>29095+9738+5145</f>
        <v>43978</v>
      </c>
      <c r="C101" s="71">
        <f>22971+3869+3632</f>
        <v>30472</v>
      </c>
      <c r="D101" s="71">
        <f>18675+2726+3643</f>
        <v>25044</v>
      </c>
      <c r="E101" s="44">
        <v>2769.4594467950005</v>
      </c>
      <c r="F101" s="71">
        <f>36172+5466+4883</f>
        <v>46521</v>
      </c>
    </row>
    <row r="102" spans="1:6" ht="15">
      <c r="A102" s="39" t="s">
        <v>46</v>
      </c>
      <c r="B102" s="70">
        <f>225876+59709+57796</f>
        <v>343381</v>
      </c>
      <c r="C102" s="70">
        <f>158397+54724+49164</f>
        <v>262285</v>
      </c>
      <c r="D102" s="70">
        <f>122598+42511+40980</f>
        <v>206089</v>
      </c>
      <c r="E102" s="45">
        <v>20254.10933491853</v>
      </c>
      <c r="F102" s="70">
        <f>136616+43177+46705</f>
        <v>226498</v>
      </c>
    </row>
    <row r="103" spans="1:6" ht="15">
      <c r="A103" s="40" t="s">
        <v>43</v>
      </c>
      <c r="B103" s="71">
        <f>237778+66791+60523</f>
        <v>365092</v>
      </c>
      <c r="C103" s="71">
        <f>139379+45199+34160</f>
        <v>218738</v>
      </c>
      <c r="D103" s="71">
        <f>89407+34800+37308</f>
        <v>161515</v>
      </c>
      <c r="E103" s="44">
        <v>13070.260504625592</v>
      </c>
      <c r="F103" s="71">
        <f>111343+40949+45008</f>
        <v>197300</v>
      </c>
    </row>
    <row r="104" spans="1:6" ht="15">
      <c r="A104" s="40" t="s">
        <v>44</v>
      </c>
      <c r="B104" s="75">
        <f>-1228-3945-212</f>
        <v>-5385</v>
      </c>
      <c r="C104" s="71">
        <f>17096+4362+3269</f>
        <v>24727</v>
      </c>
      <c r="D104" s="71">
        <f>20908+4050+3797</f>
        <v>28755</v>
      </c>
      <c r="E104" s="44">
        <v>2452.3612261954017</v>
      </c>
      <c r="F104" s="74">
        <f>4310+1288+2650</f>
        <v>8248</v>
      </c>
    </row>
    <row r="105" spans="1:6" ht="15">
      <c r="A105" s="103" t="s">
        <v>77</v>
      </c>
      <c r="B105" s="103"/>
      <c r="C105" s="103"/>
      <c r="D105" s="103"/>
      <c r="E105" s="103"/>
      <c r="F105" s="103"/>
    </row>
    <row r="106" spans="1:6" ht="27" customHeight="1">
      <c r="A106" s="104" t="s">
        <v>78</v>
      </c>
      <c r="B106" s="104"/>
      <c r="C106" s="104"/>
      <c r="D106" s="104"/>
      <c r="E106" s="104"/>
      <c r="F106" s="104"/>
    </row>
    <row r="107" spans="1:6" ht="30.75" customHeight="1">
      <c r="A107" s="97" t="s">
        <v>81</v>
      </c>
      <c r="B107" s="97"/>
      <c r="C107" s="97"/>
      <c r="D107" s="97"/>
      <c r="E107" s="97"/>
      <c r="F107" s="97"/>
    </row>
    <row r="108" spans="1:6" ht="27.75" customHeight="1">
      <c r="A108" s="97" t="s">
        <v>64</v>
      </c>
      <c r="B108" s="97"/>
      <c r="C108" s="97"/>
      <c r="D108" s="97"/>
      <c r="E108" s="97"/>
      <c r="F108" s="97"/>
    </row>
  </sheetData>
  <sheetProtection/>
  <mergeCells count="8">
    <mergeCell ref="A108:F108"/>
    <mergeCell ref="A1:D1"/>
    <mergeCell ref="A2:F2"/>
    <mergeCell ref="A85:F85"/>
    <mergeCell ref="A95:F95"/>
    <mergeCell ref="A105:F105"/>
    <mergeCell ref="A106:F106"/>
    <mergeCell ref="A107:F107"/>
  </mergeCells>
  <printOptions/>
  <pageMargins left="0.3854166666666667" right="0.10416666666666667" top="0.3958333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2017-09-06T07:50:09Z</cp:lastPrinted>
  <dcterms:created xsi:type="dcterms:W3CDTF">2016-03-14T08:42:16Z</dcterms:created>
  <dcterms:modified xsi:type="dcterms:W3CDTF">2017-10-10T06:09:00Z</dcterms:modified>
  <cp:category/>
  <cp:version/>
  <cp:contentType/>
  <cp:contentStatus/>
</cp:coreProperties>
</file>