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ARSGAGIK3\Azgayin joghovi byujetayin grasenyak\PBO in PRACTICE\PBO 2018\PBO in 2019\2018 PET BYUJE report\TEXEKANQNER\2018 report KHTs\artaqin\"/>
    </mc:Choice>
  </mc:AlternateContent>
  <bookViews>
    <workbookView xWindow="0" yWindow="0" windowWidth="28800" windowHeight="12330"/>
  </bookViews>
  <sheets>
    <sheet name="Sheet1" sheetId="23" r:id="rId1"/>
    <sheet name="Sheet2" sheetId="22" r:id="rId2"/>
  </sheets>
  <calcPr calcId="162913"/>
</workbook>
</file>

<file path=xl/calcChain.xml><?xml version="1.0" encoding="utf-8"?>
<calcChain xmlns="http://schemas.openxmlformats.org/spreadsheetml/2006/main">
  <c r="K147" i="23" l="1"/>
  <c r="J143" i="23"/>
  <c r="J142" i="23"/>
  <c r="J133" i="23"/>
  <c r="J77" i="23"/>
  <c r="J76" i="23"/>
  <c r="J75" i="23"/>
  <c r="J74" i="23"/>
  <c r="J73" i="23"/>
  <c r="J72" i="23"/>
  <c r="J71" i="23"/>
  <c r="J70" i="23"/>
  <c r="J69" i="23"/>
  <c r="J68" i="23"/>
  <c r="J67" i="23"/>
  <c r="J66" i="23"/>
  <c r="J65" i="23"/>
  <c r="J64" i="23"/>
  <c r="J63" i="23"/>
  <c r="J50" i="23"/>
  <c r="K29" i="23"/>
  <c r="G29" i="23"/>
  <c r="J30" i="23"/>
  <c r="J28" i="23"/>
  <c r="J27" i="23"/>
  <c r="J26" i="23"/>
  <c r="J25" i="23"/>
  <c r="J24" i="23"/>
  <c r="J23" i="23"/>
  <c r="J22" i="23"/>
  <c r="J21" i="23"/>
  <c r="J20" i="23"/>
  <c r="J18" i="23"/>
  <c r="J17" i="23"/>
  <c r="J16" i="23"/>
  <c r="J15" i="23"/>
  <c r="J14" i="23"/>
  <c r="J13" i="23"/>
  <c r="J12" i="23"/>
  <c r="J11" i="23"/>
  <c r="J10" i="23"/>
  <c r="G147" i="23" l="1"/>
  <c r="G145" i="23"/>
  <c r="F143" i="23"/>
  <c r="F142" i="23"/>
  <c r="F133" i="23"/>
  <c r="F76" i="23"/>
  <c r="F75" i="23"/>
  <c r="F74" i="23"/>
  <c r="F73" i="23"/>
  <c r="F72" i="23"/>
  <c r="F71" i="23"/>
  <c r="F70" i="23"/>
  <c r="F69" i="23"/>
  <c r="F68" i="23"/>
  <c r="F67" i="23"/>
  <c r="F66" i="23"/>
  <c r="F65" i="23"/>
  <c r="F64" i="23"/>
  <c r="F63" i="23"/>
  <c r="G59" i="23"/>
  <c r="F49" i="23"/>
  <c r="F30" i="23"/>
  <c r="F28" i="23"/>
  <c r="F27" i="23"/>
  <c r="F26" i="23"/>
  <c r="F25" i="23"/>
  <c r="F24" i="23"/>
  <c r="F23" i="23"/>
  <c r="F22" i="23"/>
  <c r="F21" i="23"/>
  <c r="F20" i="23"/>
  <c r="F18" i="23"/>
  <c r="F17" i="23"/>
  <c r="F16" i="23"/>
  <c r="F15" i="23"/>
  <c r="F14" i="23"/>
  <c r="F13" i="23"/>
  <c r="F12" i="23"/>
  <c r="F11" i="23"/>
  <c r="F10" i="23"/>
  <c r="F62" i="23" l="1"/>
  <c r="F19" i="23"/>
</calcChain>
</file>

<file path=xl/sharedStrings.xml><?xml version="1.0" encoding="utf-8"?>
<sst xmlns="http://schemas.openxmlformats.org/spreadsheetml/2006/main" count="285" uniqueCount="152">
  <si>
    <t>քանակական</t>
  </si>
  <si>
    <t>որակական</t>
  </si>
  <si>
    <t>Չափորոշիչը (նկարագրությունը)</t>
  </si>
  <si>
    <t>Չափորոշիչի տեսակը</t>
  </si>
  <si>
    <t>շահառուների քանակը</t>
  </si>
  <si>
    <t>Արտաքին հարաբերությունների ոլորտում պետական քաղաքականության մշակում և ծառայությունների մատուցում</t>
  </si>
  <si>
    <t>Արտերկրում ՀՀ դեսպանությունների համար շենքերի գնում</t>
  </si>
  <si>
    <t>Վարչական սարքավորումներ</t>
  </si>
  <si>
    <t>Տրանսպորտային սարքավորումներ</t>
  </si>
  <si>
    <t>Վերապատրաստման ծառայություններ</t>
  </si>
  <si>
    <t>Օտարերկրյա պետություններում և միջազգային կազմակերպություններում հավատարմագրված ՀՀ դիվանագիտական ծառայության մարմինների նպատակների և խնդիրների իրագործում</t>
  </si>
  <si>
    <t>Հրատարակչական, տեղեկատվական և տպագրական ծառայություններ</t>
  </si>
  <si>
    <t>Պետական հիմնարկների և կազմակերպությունների աշխատողների սոցիալական փաթեթով ապահովում</t>
  </si>
  <si>
    <t>Աջակցություն հայ մշակույթի միջազգային կենտրոններին</t>
  </si>
  <si>
    <t>Միջազգային կազմակերպություններին ՀՀ անդամակցության վճարներ</t>
  </si>
  <si>
    <t>Մասնակցությունը ՀՀ արտաքին քաղաքականության հայեցակարգի և ուղղությունների մշակմանը, ՀՀ Նախագահին ու ՀՀ կառավարությանը համապատասխան առաջարկություններ ներկայացնելը (առաջարկությունների քանակը)</t>
  </si>
  <si>
    <t>Պաշտոնական այցերի շրջանակներում կայացող հանդիպումներին, միջազգային կազմակերպությունների աշխատանքներին, արտաքին քաղաքականության ոլորտի սեմինարներին և հանդիպումներին, միջազգային խորհրդակցություններին, գիտաժողովներին ու այլ հավաքներին մասնակից ՀՀ պաշտոնական պատվիրակությունների կողմից երկրի շահերի և իրավունքների պատշաճ և հետևողական ներկայացման համար անհրաժեշտ աջակցության ապահովում (տեղեկատվական-վերլուծական նյութերի քանակը)</t>
  </si>
  <si>
    <t>Արտաքին քաղաքականության ոլորտի սեմինարների և հանդիպումների, ինչպես նաև միջազգային խորհրդակցությունների, գիտաժողովների ու այլ հավաքների աշխատանքների կազմակերպում և դրանց ՀՀ մասնակցության ապահովում (միջոցառումների ընդհանուր քանակը)</t>
  </si>
  <si>
    <t>Օտարերկրյա պետությունների ու միջազգային կազմակերպությունների հետդիվանագիտական և (կամ) հյուպատոսական հարաբերությունների իրականացում, (ՀՀ-ի հետ դիվանագիտական հարաբերություններ հաստատած օտարերկրյա պետությունների ու այն միջազգային կազմակերպությունների ընդհանուր քանակը, որոնց ՀՀ-ը անդամակցում է կամ այլ կարգավիճակով նրանց հետ փոխգործակցում)</t>
  </si>
  <si>
    <t>ՀՀ միջազգային պայմանագրերի կնքման և այդ բնագավառում գործադիր իշխանության այլ մարմինների գործունեության համակարգման, ուժի մեջ մտնող միջազգային պայմանագրերի գրանցման, հրապարակման ավանդապահի, ինչպես նաև գործող ՀՀ միջազգային պայմանագրերի կատարման նկատմամբ ընդհանուր հսկողության ԱԳՆ գործառույթների իրականացումը (պայմանագրերի ընդհանուր քանակը)</t>
  </si>
  <si>
    <t>Միջազգային հարաբերությունների բնագավառում ՀՀ օրենսդրության կատարելագործման և երկրի միջազգային պարտավորություններին նրա համապատասխանեցման ուղղությամբ առաջարկությունների պատրաստումը (առաջարկությունների քանակը)</t>
  </si>
  <si>
    <t>ԱԳՆ գործունեության ոլորտի իրավական ակտերի կիրառման պրակտիկայի ընդհանրացումը, արտաքին քաղաքականության ոլորտին առնչվող իրավական ակտերի նախագծերի մշակումը և դրանք սահմանված կարգով ՀՀ կառավարություն ներկայացումը (նախագծերի քանակը)</t>
  </si>
  <si>
    <t>ՀՀ արտաքին քաղաքականությանն առնչվող հիմնահարցերի լուսաբանումը (հրապարակվող հոդվածների, տեղեկատվական նյութերի, մամուլի հաղորդագրությունների և անցկացվող մամուլի ասուլիսների և հարցազրույցների ընդհանուր քանակը)</t>
  </si>
  <si>
    <t>ՀՀ-ում հավատարմագրված օտարերկրյա պետությունների դիվանագիտական ներկայացուցչությունների և միջազգային կազմակերպությունների հետ պաշտոնական կապի իրականացում և աջակցություն նրանց գործունեությանը (ՀՀ-ում հավատարմագրված դիվանագիտական առաքելությունների քանակը)</t>
  </si>
  <si>
    <t>Շենքի գնում/հատ/</t>
  </si>
  <si>
    <t>Դիվանագիտական դպրոցի ուսումնական գործընթացի կազմակերպում</t>
  </si>
  <si>
    <t>Օտարերկրյա պետություններում գործող դիվանագիտական ծառայության մարմինների` ՀՀ դեսպանությունների, հյուպատոսական հիմնարկների և միջազգային կազմակերպություններում ՀՀ մշտական ներկայացուցչությունների (բացառությամբ մասնագիտացված միջազգային կազմակերպություններում ՀՀ ներկայացուցիչների և  ներկայացուցչությունների) ընդհանուր քանակը</t>
  </si>
  <si>
    <t>Միջազգային պայմանագրերի տպագրություն (հատ)</t>
  </si>
  <si>
    <t>ՀՀ մուտքի վիզաների տպագրություն (հատ)</t>
  </si>
  <si>
    <t>ՀՀ վերադարձի վկայականների տպագրություն (հատ)</t>
  </si>
  <si>
    <t>Տրանսֆերտների վճարման հաճախականությունը</t>
  </si>
  <si>
    <t>Միջազգային կենտրոնների քանակը</t>
  </si>
  <si>
    <t>ՀՀ-ում ՅՈՒՆԵՍԿՕ-ի կողմից իրականացվող կրթական, գիտական և մշակութային ծրագրեր</t>
  </si>
  <si>
    <t>ՀՀ անդամակցություն միջազգային կազմակերպություններին</t>
  </si>
  <si>
    <t>ժամկետայնության</t>
  </si>
  <si>
    <t>Քանակական</t>
  </si>
  <si>
    <t xml:space="preserve">Համապատասխան պետական հիմնարկների և կազմակերպությունների քանակը </t>
  </si>
  <si>
    <t>Քաղաքականության միջոցառման անվանումը</t>
  </si>
  <si>
    <t>քանակա կան</t>
  </si>
  <si>
    <t>ՆԱՏՕ-ի նոր կենտրոնակայանի շենքի վերակառուցման
աշխատանքների ծախսերի փոխհատուցման Հայաստանի
Հանրապետության մասնաբաժին</t>
  </si>
  <si>
    <t>փաստաթղթերի հյուպատոսական վավերացում (հատ)</t>
  </si>
  <si>
    <t>փաստաթղթերի ապոստիլով վավերացում (հատ)</t>
  </si>
  <si>
    <t>Հայաստանի Հանրապետությունում դատվածության և
հետախուզման առկայության մասին տեղեկանքների
տրամադրում (հատ)</t>
  </si>
  <si>
    <t>օտարերկրյա պետություններում գտնվող մինչև 16
տարեկան Հայաստանի Հանրապետության քաղաքացիների
անձնագրերի տպագրում (հատ)</t>
  </si>
  <si>
    <t>ՀՀ մուտքի արտոնագիր ստանալու նպատակով
իրավաμանական անձանց հրավերների հաշվառում և
ձևակերպում (հատ)</t>
  </si>
  <si>
    <t>Պետական լիազոր մարմնի հետ համատեղ
uփյուռքահայության հետ հարաμերությունների
համակարգում, Սփյուռքի համայնքային եւ այլ
կազմակերպությունների հետ փոխգործակցության
իրականացում(կազմակերպությունների ընդհանուր քանակը)</t>
  </si>
  <si>
    <t>ՀՀ դիվանագիտական կադրերի պատրաuտման եւ
վերապատրաuտման, նախարարության համակարգի
աշխատողների մաuնագիտական որակավորման
μարձրացման աշխատանքների կազմակերպումը,
ատեuտավորման անցկացումը, աշխատողների եւ ղեկավար
կադրերի ընտրության ու տեղաμաշխման աշխատանքների
կազմակերպումը (վերապատրաստում, ատեստավորում
անցած, նոր պաշտոնի նշանակված դիվանագետների
ընդհանուր քանակը)</t>
  </si>
  <si>
    <t>Հյուպատոսական գործունեություն, օտարերկրյա պետություններում ՀՀ քաղաքացիների և իրավաբանական անձանց իրավունքների ու օրինական շահերի պաշտպանության իրականացում</t>
  </si>
  <si>
    <t xml:space="preserve"> Հայաստանի Հանարպետության արտաքին գործերի նախարարության բյուջետային ծրագրերի ոչ ֆինանսական ցուցանիշների </t>
  </si>
  <si>
    <r>
      <t xml:space="preserve">   </t>
    </r>
    <r>
      <rPr>
        <b/>
        <sz val="12"/>
        <rFont val="GHEA Grapalat"/>
        <family val="3"/>
      </rPr>
      <t xml:space="preserve">ՏԵՂԵԿԱՆՔ </t>
    </r>
  </si>
  <si>
    <t>ՀՀ Նախագահի ընդհանուր ղեկավարությամբ արտաքին գործերի բնագավառում ՀՀ կառավարության քաղաքականության մշակում և իրականացում, ՀՀ արտաքին գործերի նախարարությանը վերապահված լիազորությունների շրջանակում դիվանագիտական ծառայության կազմակերպում և ղեկավարում</t>
  </si>
  <si>
    <t>վերադարձի վկայականների տրամադրում (հատ)</t>
  </si>
  <si>
    <t>Հայաստանի Հանրապետության քաղաքացու անձնագիր տալու կամ փոխանակելու  համար պետական տուրքի վճարումից ազատելու արդյունքում չգանձված պետական տուրքի փոխհատուցում  (շահառուների քանակը)</t>
  </si>
  <si>
    <t>Բելգիայում ՀՀ դեսպանության շենքի գնում/հատ/</t>
  </si>
  <si>
    <t xml:space="preserve">Ակտիվի ծառայության կանխատեսվող ժամկետը </t>
  </si>
  <si>
    <t>20 տարի</t>
  </si>
  <si>
    <t xml:space="preserve">Ակտիվի ընդհանուր արժեքը </t>
  </si>
  <si>
    <t>1,233,427.5 եվրոյի համարժեք դրամ (ներառյալ տոկոսները)</t>
  </si>
  <si>
    <t>Տվյալ բյուջետային տարվան նախորդող բյուջետային տարիների ընթացքում ակտիվի վրա կատարված ծախսերը (դրամ)</t>
  </si>
  <si>
    <t>2005-2016թթ՝ 540,213.3 հազար դրամ (1,011,683.0 եվրո)</t>
  </si>
  <si>
    <t>Երևան քաղաքի, Կոտայքի, Գեղարքունիքի, Արարարատի, Արմավիրի և Սյունիքի մարզերի բժշկական ուսումնական հաստատություններում ՄԻԱՎ/ՁԻԱՀ-ի վերաբերյալ կրթության և ուսուցման որակի բարելավման նպատակով վերապատրաստման դասընթացներ-սեմինարներ</t>
  </si>
  <si>
    <t>Միջազգային կազմակերպությունների աշխատանքներին ՀՀ մասնակցության, երկրում նրանց կողմից տարբեր ծրագրերի իրականացման ապահովում</t>
  </si>
  <si>
    <t>Դասընթացների վերապատրաստում, կանանց ազդեցության և տղամարդկանց ու կանանց իրավավավասարության խթանում</t>
  </si>
  <si>
    <t>«Տպագրության մարգարիտ». կոնֆերանս և ցուցահանդես՝ նվիրված Ոսկան Երևանցու տպագրությամբ հայերեն առաջին Աստվածաշնչի (1666թ.) 350-ամյակին</t>
  </si>
  <si>
    <t>Հասարակության լայն շերտերի շրջանում հայերեն առաջին տպագիր Աստվածաշնչի վերաբերյալ իրազեկության բարձրացմանը, ինչպես նաև դրա վերաբերյալ վերջին տարիներին իրականացված ուսումնասիրությունները գիտական շրջանառության մեջ դնելուն</t>
  </si>
  <si>
    <t>Միջոցառումների թիվը</t>
  </si>
  <si>
    <t>«Գեղարդի վանական համալիրի ժայռափոր եկեղեցիների և ջրահեռացման համակարգի պահպանության և ամրակայման մեթոդաբանությունները» թեմայով խորհրդաժողով</t>
  </si>
  <si>
    <t>Նպաստել մշակությային ժառանգության պահպանությանը, պաշտպանությանը, ուսումնասիրությանը, օգտագործմանը, հանրահռչակմանն ու ծառայությունների մատուցմանը</t>
  </si>
  <si>
    <t>«Մերձավոր Արևելքի աստղագիտական ժառանգությունը» թեմայով միջազգային խորհրդաժողով</t>
  </si>
  <si>
    <t>Աջակցել միջազգային մշակութային շփումներին և փոխանակումներին, հատկապես զարգացող երկրներում ծավալել գիտական, մշակութային և կրթական գործունեություն, ինչպես նաև իրականացնել ՅՈՒՆԵՍԿՕ-ի «Աստղագիտություն և համաշխարհային ժառանգություն» թեմատիկ նախաձեռնությունը</t>
  </si>
  <si>
    <t>1.«Դիվանագիտական կադրերի պատրաստում»  ծրագրի շրջանավարտների քանակը</t>
  </si>
  <si>
    <t>2. Դիվանագետների և այլ գերատեսչությունների արտաքին կապերի ստորաբաժանումների  վերապատրաստվող աշխատակիցների քանակը</t>
  </si>
  <si>
    <t>1.«Դիվանագիտական կադրերի պատրաստում»  ծրագրի շրջանավարտների վկայական ստացողների քանակը (%-ով)</t>
  </si>
  <si>
    <t>2. Վերապատրաստման դասընթացների ավարտական վկայական ստացողների քանակաը (%-ով ըստ ծրագրի)՝</t>
  </si>
  <si>
    <t>ա «Հյուպատոսական գործունեություն»  ծրագրով դիվանագետների վերապատրաստման դասընթաց</t>
  </si>
  <si>
    <t>բ Այլ վերապատրաստման դասընթացներ</t>
  </si>
  <si>
    <t>1.«Դիվանագիտական կադրերի պատրաստում»  ծրագրի տևողությունը (ամիս)</t>
  </si>
  <si>
    <t>2. Վերապատրաստման դասընթացների տևողությունը (ամիս)</t>
  </si>
  <si>
    <t>բ Այլ վերապատրաստման դասընթացներ մինչև</t>
  </si>
  <si>
    <t xml:space="preserve">Հայաստանի Հանրապետության մասնակցությունը ՆԱՏՕ-ի նոր կենտրոնակայանի շենքում Հայաստանի Հանրապետության առաքելությանը պատկանող մասնաբաժնի աշխատանքային բավարար պայմանների ապահովման ծառայություններին (տարածքի մակերեսը մ²) </t>
  </si>
  <si>
    <t>Օտարերկրյա պետություններում ՀՀ դիվանագիտական ներկայացուցչությունների և հյուպատոսական հիմնարկների ՀՀ քաղաքացիների և իրավաբանական անձանց իրավունքների ու օրինական շահերի պաշտպանության իրականացում, այդ թվում (հատ).</t>
  </si>
  <si>
    <t xml:space="preserve"> - ՀՀ քաղաքացիների անձնագրերի տրամադրում և փոխանակում՝ շուրջ (հատ)</t>
  </si>
  <si>
    <t xml:space="preserve"> - ՀՀ քաղաքացիների անձնագրերի վավերականության ժամկետների երկարաձգման գործեր՝ շուրջ (հատ)</t>
  </si>
  <si>
    <t xml:space="preserve"> - ՀՀ մուտքի արտոնագրերի (վիզաների) տրամադրում և ձևակերպում՝ շուրջ (հատ)</t>
  </si>
  <si>
    <t xml:space="preserve"> - ՀՀ վերադարձի վկայական՝ շուրջ (հատ)</t>
  </si>
  <si>
    <t xml:space="preserve"> - Տարաբնույթ տեղեկանքների տրամադրում՝ շուրջ (հատ)</t>
  </si>
  <si>
    <t xml:space="preserve"> - ՀՀ քաղաքացիություն ստանալու և դադարացնելու գործեր՝ շուրջ (հատ)</t>
  </si>
  <si>
    <t xml:space="preserve"> - ՀՀ քաղաքացիների որդեգրման գործընթացի հետ կապված գործեր՝ շուրջ (հատ)</t>
  </si>
  <si>
    <t xml:space="preserve"> - ՀՀ քաղաքացիների նկատմամբ խնամակալություն և հոգաբարձություն սահմանելու գործընթացի հետ կապված գործեր՝ շուրջ (հատ)</t>
  </si>
  <si>
    <t xml:space="preserve"> - ՀՀ քաղաքացիների գույքի պահպանության գործեր՝ շուրջ (հատ)</t>
  </si>
  <si>
    <t xml:space="preserve"> - ՀՀ քաղաքացիական կացության ակտերի գրանցում՝ շուրջ (հատ)</t>
  </si>
  <si>
    <t xml:space="preserve"> - նոտարական գործողություններ՝ շուրջ (հատ)</t>
  </si>
  <si>
    <t xml:space="preserve"> - հյուպատոսական վավերացման գործեր՝ շուրջ (հատ)</t>
  </si>
  <si>
    <t xml:space="preserve"> - ձերբակալված, կալանավորված կամ պատիժ կրող ՀՀ քաղաքացիների շահերի պաշտպանության և հյուպատոսական վավերացման գործեր՝ շուրջ (հատ)</t>
  </si>
  <si>
    <t xml:space="preserve"> - դատարանների, դատախազության, քննչական մարմինների հանձնարարությունների կատարմանը ցուցաբերվող աջակցություն՝ շուրջ (հատ)</t>
  </si>
  <si>
    <t>Մերժված քաղաքացիների գործերի քանակում բողոքների տեսակարար կշիռը մինչև (%)</t>
  </si>
  <si>
    <t xml:space="preserve"> - ՀՀ մուտքի արտոնագրերի (վիզաների) տրամադրում և ձևակերպում, որից՝</t>
  </si>
  <si>
    <t>ա) մինչև (օր)՝</t>
  </si>
  <si>
    <t>բ) լրացուցիչ (օր)՝</t>
  </si>
  <si>
    <t xml:space="preserve"> - ՀՀ քաղաքացիների անձնագրերի վավերականության ժամկետների երկարաձգման գործեր, որից՝</t>
  </si>
  <si>
    <t xml:space="preserve"> - Տարաբնույթ տեղեկանքների տրամադրում, որից՝</t>
  </si>
  <si>
    <t xml:space="preserve"> - Անձնագրավորման գործեր, որից՝</t>
  </si>
  <si>
    <t xml:space="preserve"> - ՀՀ քաղաքացիություն ստանալու և դադարացնելու գործեր, որից՝</t>
  </si>
  <si>
    <t xml:space="preserve"> - ՀՀ վերադարձի վկայական, որից՝</t>
  </si>
  <si>
    <t xml:space="preserve"> - ՀՀ քաղաքացիների որդեգրման գործընթացի հետ կապված գործեր, որից՝</t>
  </si>
  <si>
    <t xml:space="preserve"> - ՀՀ քաղաքացիների  նկատմամբ խնամակալություն և հոգաբարձություն սահմանելու գործընթացի հետ կապված գործեր, որից՝</t>
  </si>
  <si>
    <t xml:space="preserve"> - ՀՀ քաղաքացիների գույքի պահպանության գործեր, որից՝</t>
  </si>
  <si>
    <t xml:space="preserve"> - ՀՀ քաղաքացիական կացության ակտերի գրանցում, որից՝</t>
  </si>
  <si>
    <t xml:space="preserve"> - նոտարական գործողություններ, որից</t>
  </si>
  <si>
    <t xml:space="preserve"> - ձերբակալված, կալանավորված կամ պատիժ կրող ՀՀ քաղաքացիների շահերի պաշտպանության և հյուպատոսական վավերացման գործեր, որից՝</t>
  </si>
  <si>
    <t xml:space="preserve"> - դատարանների, դատախազության, քննչական մարմինների հանձնարարությունների կատարմանը ցուցաբերվող աջակցություն, որից՝</t>
  </si>
  <si>
    <t>Արտաքին գործերի բնագավառում ՀՀ կառավարության քաղաքականության իրականացման դիվանագիտական գործունեություն օտարերկրյա պետություններում և միջազգային կազմակերպություններում</t>
  </si>
  <si>
    <t>Տպագրվող միջազգային պայմանգրերի տարեկան ծավալը (մամուլ)</t>
  </si>
  <si>
    <t>Պաշտպանված ձևաթղթերի տպագրություն (հատ)</t>
  </si>
  <si>
    <t xml:space="preserve">Միջազգային պայմանագրերի, ՀՀ մուտքի վիզաների, ՀՀ վերադարձի վկայականների և պաշտպանված ձևաթղթերի սպառման ցուցանիշը (%) </t>
  </si>
  <si>
    <t>Միջազգային պայմանագրերը տպագրվում են կիսամյակը մեկ անգամ</t>
  </si>
  <si>
    <t xml:space="preserve">ՀՀ մուտքի վիզաները, ՀՀ վերադարձի վկայականները և պաշտպանված ձևաթղթերը տպագրվում են երկու տարին մեկ անգամ </t>
  </si>
  <si>
    <t>ամիսը մեկ անգամ</t>
  </si>
  <si>
    <t>եռամսյակային</t>
  </si>
  <si>
    <t>Աջակցություն Երևանում ՆԱՏՕ-ի հասարակական  տեղեկատվական կենտրոնին</t>
  </si>
  <si>
    <t xml:space="preserve"> Երևանում ՆԱՏՕ-ի հասարակական  տեղեկատվական կենտրոնի գրասենյակ</t>
  </si>
  <si>
    <t>ամսական</t>
  </si>
  <si>
    <t>Հայաստանի Հանրապետությունում շահագրգիր գերատեսչությունների քանակը (պետական կառավարման մարմիններ)</t>
  </si>
  <si>
    <t>Կնքված պայմանագրերի համաձայն և այլ իրավական փաստաթղթերի</t>
  </si>
  <si>
    <t>Ակտիվի ծառայության կանխատեսվող ժամկետը</t>
  </si>
  <si>
    <t>Երեքից հինգ տարի</t>
  </si>
  <si>
    <t>Տրանսպորտային միջոցների ձեռքբերում</t>
  </si>
  <si>
    <t>Հինգից յոթ տարի</t>
  </si>
  <si>
    <t>Ոչ ֆինանսական</t>
  </si>
  <si>
    <t>2016 (փաստացի)</t>
  </si>
  <si>
    <t>2017 փաստացի</t>
  </si>
  <si>
    <t>2018 (փաստացի)</t>
  </si>
  <si>
    <t>Միջազգային պայմանագրերը տպագրվում են տարին մեկ անգամ</t>
  </si>
  <si>
    <t>Ֆրանկոֆոնիայի միջազգային կազմակերպությանը Հայաստանի ներգրավվածության ապահովման շրջանակներում իրականացվող միջոցառումներ</t>
  </si>
  <si>
    <t>2018 թվականին Հայաստանում կայանալիք Ֆրանկոֆոն պետությունների և կառավարությունների ղեկավարների 17-րդ գագաթնաժողովի նախապատրատման և անցկացման հետ կապված միջոցառումների իրականացման ապահովում</t>
  </si>
  <si>
    <t xml:space="preserve">Գագաթնաժողովին  Հայաստանը 2 տարի ժամկետով կստանձնի 84 անդամ, ասոցիացված և դիտորդ պետություններին միավորող կառույցի նախագահությունը </t>
  </si>
  <si>
    <t>Հայաստանի հեղինակության բարձրացում</t>
  </si>
  <si>
    <t>2018թ.հոկտեմբերի 18-25-ը</t>
  </si>
  <si>
    <t>Օտարերկրյա պետություններում գործող ՀՀ դիվանագիտական ներկայացուցչություններում կահույքի, սարքավորումների, համակարգիչների և նրանց ուղեկցող սարքավորումների ձեռքբերում</t>
  </si>
  <si>
    <t>8-10 տարի</t>
  </si>
  <si>
    <t>Ֆրանկոֆոնիայի միջազգային կազմակերպությանը Հայաստանի ներգրավվածության ապահովման շրաջանակներում իրականացվող միջոցառումներ</t>
  </si>
  <si>
    <t>2018 թվականին Հայաստանում կայանացած Ֆրանկոֆոն պետությունների և կառավարությունների ղեկավարների 17-րդ գագաթնաժողովի նախապատրաստման և անցկացման հետ կապված միջոցառումների իրականացման ապահովում</t>
  </si>
  <si>
    <t>«Ընդդեմ ցեղասպանության հանցագործության» երրորդ գլոբալ ֆորում</t>
  </si>
  <si>
    <t>2018 թվականի դեկտեմբերի 9-11-ը Հայաստանում կայացած «Ընդդեմ ցեղասպանության հանցագործության» երրորդ գլոբալ ֆորումի նախապատրաստման և անցկացման հետ կապված միջոցառումների իրականացման ապահովում</t>
  </si>
  <si>
    <t>Վրաստանի տարածքում տեղի ունեցած ավտովթարի հետևանքով տուժած ՀՀ քաղաքացիներին Վրաստանում ստացած բժշկական օգնության և սպասարկման ծախսերի փոխհատուցում Վրաստանում Հայաստանի Հանրապետության դեսպանության միջոցով</t>
  </si>
  <si>
    <t>Տուժած քաղաքացիների թիվը</t>
  </si>
  <si>
    <t>ՀՀ քաղաքացիություն ստանալու գործի շրջանակներում
հայությունը հաստատող փաստաթուղթ համարվող
մկրտության վկայականների հյուպատոսական հաստատում
(հատ)</t>
  </si>
  <si>
    <t>Օտարերկրյա պետություններում գործող ՀՀ դիվանագիտական ներկայացուցչությունների համար ծառայողական շենքերի գնում /Բրյուսել/</t>
  </si>
  <si>
    <t>2018 (հաստատված)</t>
  </si>
  <si>
    <t>Ֆինանսական (հազար դրամ)</t>
  </si>
  <si>
    <t>Ֆինանսական  (հազար դրամ)</t>
  </si>
  <si>
    <t xml:space="preserve">  վերաբերյալ՝ 2016-2018թթ ընթացքում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</si>
</sst>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00_-;\-* #,##0.00_-;_-* &quot;-&quot;??_-;_-@_-"/>
    <numFmt numFmtId="166" formatCode="0.00;[Red]0.00"/>
    <numFmt numFmtId="167" formatCode="#,##0.0;[Red]#,##0.0"/>
    <numFmt numFmtId="168" formatCode="#,##0.00;[Red]#,##0.00"/>
    <numFmt numFmtId="169" formatCode="#,##0;[Red]#,##0"/>
    <numFmt numFmtId="170" formatCode="_(* #,##0_);_(* \(#,##0\);_(* &quot;-&quot;??_);_(@_)"/>
    <numFmt numFmtId="171" formatCode="#,##0.0\ _դ_ր_.;\-#,##0.0\ _դ_ր_."/>
  </numFmts>
  <fonts count="34">
    <font>
      <sz val="10"/>
      <name val="Arial"/>
    </font>
    <font>
      <sz val="10"/>
      <name val="Arial"/>
      <family val="2"/>
      <charset val="204"/>
    </font>
    <font>
      <sz val="10"/>
      <name val="Arial Armenian"/>
      <family val="2"/>
    </font>
    <font>
      <sz val="8"/>
      <name val="Arial"/>
      <family val="2"/>
      <charset val="204"/>
    </font>
    <font>
      <sz val="10"/>
      <name val="GHEA Grapalat"/>
      <family val="3"/>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sz val="10"/>
      <name val="Arial"/>
      <family val="2"/>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sz val="9"/>
      <name val="Arial Armenian"/>
      <family val="2"/>
    </font>
    <font>
      <sz val="10"/>
      <name val="Arial Armenian"/>
      <family val="2"/>
    </font>
    <font>
      <b/>
      <sz val="11"/>
      <color indexed="63"/>
      <name val="Calibri"/>
      <family val="2"/>
      <charset val="1"/>
    </font>
    <font>
      <sz val="10"/>
      <name val="Helv"/>
      <charset val="204"/>
    </font>
    <font>
      <b/>
      <sz val="18"/>
      <color indexed="56"/>
      <name val="Cambria"/>
      <family val="2"/>
      <charset val="1"/>
    </font>
    <font>
      <b/>
      <sz val="11"/>
      <color indexed="8"/>
      <name val="Calibri"/>
      <family val="2"/>
      <charset val="1"/>
    </font>
    <font>
      <sz val="11"/>
      <color indexed="10"/>
      <name val="Calibri"/>
      <family val="2"/>
      <charset val="1"/>
    </font>
    <font>
      <sz val="10"/>
      <name val="Arial"/>
      <family val="2"/>
      <charset val="204"/>
    </font>
    <font>
      <sz val="12"/>
      <name val="GHEA Grapalat"/>
      <family val="3"/>
    </font>
    <font>
      <b/>
      <sz val="12"/>
      <name val="GHEA Grapalat"/>
      <family val="3"/>
    </font>
    <font>
      <sz val="8"/>
      <name val="GHEA Grapalat"/>
      <family val="3"/>
    </font>
    <font>
      <b/>
      <sz val="10"/>
      <name val="GHEA Grapalat"/>
      <family val="3"/>
    </font>
    <font>
      <b/>
      <sz val="10"/>
      <color theme="1"/>
      <name val="GHEA Grapalat"/>
      <family val="3"/>
    </font>
    <font>
      <sz val="8"/>
      <name val="Arial"/>
      <family val="2"/>
    </font>
    <font>
      <sz val="8"/>
      <color indexed="8"/>
      <name val="GHEA Grapalat"/>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64" fontId="1" fillId="0" borderId="0" applyFont="0" applyFill="0" applyBorder="0" applyAlignment="0" applyProtection="0"/>
    <xf numFmtId="165"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9" fillId="0" borderId="0"/>
    <xf numFmtId="0" fontId="2" fillId="0" borderId="0"/>
    <xf numFmtId="0" fontId="20" fillId="23" borderId="7" applyNumberFormat="0" applyFont="0" applyAlignment="0" applyProtection="0"/>
    <xf numFmtId="0" fontId="21" fillId="20" borderId="8" applyNumberFormat="0" applyAlignment="0" applyProtection="0"/>
    <xf numFmtId="9" fontId="10" fillId="0" borderId="0" applyFont="0" applyFill="0" applyBorder="0" applyAlignment="0" applyProtection="0"/>
    <xf numFmtId="0" fontId="22" fillId="0" borderId="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0" borderId="0"/>
    <xf numFmtId="0" fontId="22" fillId="0" borderId="0"/>
  </cellStyleXfs>
  <cellXfs count="54">
    <xf numFmtId="0" fontId="0" fillId="0" borderId="0" xfId="0"/>
    <xf numFmtId="0" fontId="4" fillId="0" borderId="0" xfId="0" applyFont="1" applyBorder="1" applyAlignment="1" applyProtection="1">
      <alignment wrapText="1"/>
      <protection locked="0"/>
    </xf>
    <xf numFmtId="166" fontId="29" fillId="0" borderId="10" xfId="0" applyNumberFormat="1" applyFont="1" applyFill="1" applyBorder="1" applyAlignment="1" applyProtection="1">
      <alignment horizontal="center" vertical="center" wrapText="1"/>
      <protection locked="0"/>
    </xf>
    <xf numFmtId="0" fontId="29" fillId="0" borderId="10" xfId="4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0" xfId="40" applyFont="1" applyFill="1" applyBorder="1" applyAlignment="1" applyProtection="1">
      <alignment horizontal="center" vertical="center" wrapText="1"/>
      <protection locked="0"/>
    </xf>
    <xf numFmtId="0" fontId="4" fillId="25" borderId="10" xfId="40" applyFont="1" applyFill="1" applyBorder="1" applyAlignment="1">
      <alignment horizontal="center" vertical="center" textRotation="90" wrapText="1"/>
    </xf>
    <xf numFmtId="0" fontId="30" fillId="25" borderId="10" xfId="40" applyFont="1" applyFill="1" applyBorder="1" applyAlignment="1">
      <alignment horizontal="center" vertical="center" textRotation="90" wrapText="1"/>
    </xf>
    <xf numFmtId="0" fontId="4" fillId="26" borderId="10" xfId="40" applyFont="1" applyFill="1" applyBorder="1" applyAlignment="1" applyProtection="1">
      <alignment horizontal="center" vertical="center" wrapText="1"/>
      <protection locked="0"/>
    </xf>
    <xf numFmtId="0" fontId="4" fillId="26" borderId="10" xfId="0" applyFont="1" applyFill="1" applyBorder="1" applyAlignment="1" applyProtection="1">
      <alignment horizontal="center" vertical="center" wrapText="1"/>
      <protection locked="0"/>
    </xf>
    <xf numFmtId="0" fontId="4" fillId="27" borderId="10" xfId="40" applyFont="1" applyFill="1" applyBorder="1" applyAlignment="1" applyProtection="1">
      <alignment horizontal="center" vertical="center" wrapText="1"/>
      <protection locked="0"/>
    </xf>
    <xf numFmtId="0" fontId="4" fillId="27" borderId="10" xfId="0" applyFont="1" applyFill="1" applyBorder="1" applyAlignment="1" applyProtection="1">
      <alignment horizontal="center" vertical="center" wrapText="1"/>
      <protection locked="0"/>
    </xf>
    <xf numFmtId="166" fontId="29" fillId="26" borderId="10" xfId="0" applyNumberFormat="1" applyFont="1" applyFill="1" applyBorder="1" applyAlignment="1" applyProtection="1">
      <alignment horizontal="center" vertical="center" wrapText="1"/>
      <protection locked="0"/>
    </xf>
    <xf numFmtId="167" fontId="29" fillId="26" borderId="10" xfId="28" applyNumberFormat="1" applyFont="1" applyFill="1" applyBorder="1" applyAlignment="1" applyProtection="1">
      <alignment horizontal="center" vertical="center" wrapText="1"/>
      <protection hidden="1"/>
    </xf>
    <xf numFmtId="168" fontId="29" fillId="26" borderId="10" xfId="28" applyNumberFormat="1" applyFont="1" applyFill="1" applyBorder="1" applyAlignment="1" applyProtection="1">
      <alignment horizontal="center" vertical="center" wrapText="1"/>
    </xf>
    <xf numFmtId="39" fontId="29" fillId="26" borderId="10" xfId="28" applyNumberFormat="1" applyFont="1" applyFill="1" applyBorder="1" applyAlignment="1" applyProtection="1">
      <alignment horizontal="center" vertical="center" wrapText="1"/>
      <protection locked="0"/>
    </xf>
    <xf numFmtId="0" fontId="32" fillId="26" borderId="10" xfId="0" applyFont="1" applyFill="1" applyBorder="1" applyAlignment="1">
      <alignment horizontal="center" vertical="center" wrapText="1"/>
    </xf>
    <xf numFmtId="169" fontId="29" fillId="0" borderId="10" xfId="28" applyNumberFormat="1" applyFont="1" applyFill="1" applyBorder="1" applyAlignment="1" applyProtection="1">
      <alignment horizontal="center" vertical="center" wrapText="1"/>
      <protection locked="0"/>
    </xf>
    <xf numFmtId="167" fontId="29" fillId="24" borderId="10" xfId="28" applyNumberFormat="1" applyFont="1" applyFill="1" applyBorder="1" applyAlignment="1" applyProtection="1">
      <alignment horizontal="center" vertical="center" wrapText="1"/>
      <protection hidden="1"/>
    </xf>
    <xf numFmtId="49" fontId="33" fillId="24" borderId="10" xfId="40" applyNumberFormat="1" applyFont="1" applyFill="1" applyBorder="1" applyAlignment="1">
      <alignment horizontal="center" vertical="center" wrapText="1"/>
    </xf>
    <xf numFmtId="0" fontId="29" fillId="0" borderId="10" xfId="0" applyFont="1" applyFill="1" applyBorder="1" applyAlignment="1" applyProtection="1">
      <alignment horizontal="center" vertical="center" wrapText="1"/>
      <protection locked="0"/>
    </xf>
    <xf numFmtId="0" fontId="32" fillId="0" borderId="10" xfId="0" applyFont="1" applyBorder="1" applyAlignment="1">
      <alignment horizontal="center" vertical="center" wrapText="1"/>
    </xf>
    <xf numFmtId="170" fontId="29" fillId="0" borderId="10" xfId="28" applyNumberFormat="1" applyFont="1" applyFill="1" applyBorder="1" applyAlignment="1" applyProtection="1">
      <alignment horizontal="center" vertical="center" wrapText="1"/>
      <protection locked="0"/>
    </xf>
    <xf numFmtId="167" fontId="29" fillId="0" borderId="10" xfId="28" applyNumberFormat="1" applyFont="1" applyFill="1" applyBorder="1" applyAlignment="1" applyProtection="1">
      <alignment horizontal="center" vertical="center" wrapText="1"/>
      <protection locked="0"/>
    </xf>
    <xf numFmtId="0" fontId="29" fillId="0" borderId="0" xfId="0" applyFont="1" applyAlignment="1">
      <alignment horizontal="center" vertical="center" wrapText="1"/>
    </xf>
    <xf numFmtId="0" fontId="29" fillId="26" borderId="10" xfId="0" applyFont="1" applyFill="1" applyBorder="1" applyAlignment="1" applyProtection="1">
      <alignment horizontal="center" vertical="center" wrapText="1"/>
      <protection locked="0"/>
    </xf>
    <xf numFmtId="167" fontId="29" fillId="26" borderId="10" xfId="28" applyNumberFormat="1" applyFont="1" applyFill="1" applyBorder="1" applyAlignment="1" applyProtection="1">
      <alignment horizontal="center" vertical="center" wrapText="1"/>
      <protection locked="0"/>
    </xf>
    <xf numFmtId="49" fontId="33" fillId="26" borderId="10" xfId="40" applyNumberFormat="1" applyFont="1" applyFill="1" applyBorder="1" applyAlignment="1">
      <alignment horizontal="center" vertical="center" wrapText="1"/>
    </xf>
    <xf numFmtId="0" fontId="29" fillId="27" borderId="10" xfId="0" applyFont="1" applyFill="1" applyBorder="1" applyAlignment="1" applyProtection="1">
      <alignment horizontal="center" vertical="center" wrapText="1"/>
      <protection locked="0"/>
    </xf>
    <xf numFmtId="167" fontId="29" fillId="27" borderId="10" xfId="28" applyNumberFormat="1" applyFont="1" applyFill="1" applyBorder="1" applyAlignment="1" applyProtection="1">
      <alignment horizontal="center" vertical="center" wrapText="1"/>
      <protection locked="0"/>
    </xf>
    <xf numFmtId="167" fontId="29" fillId="27" borderId="10" xfId="28" applyNumberFormat="1" applyFont="1" applyFill="1" applyBorder="1" applyAlignment="1" applyProtection="1">
      <alignment horizontal="center" vertical="center" wrapText="1"/>
      <protection hidden="1"/>
    </xf>
    <xf numFmtId="49" fontId="33" fillId="27" borderId="10" xfId="40" applyNumberFormat="1" applyFont="1" applyFill="1" applyBorder="1" applyAlignment="1">
      <alignment horizontal="center" vertical="center" wrapText="1"/>
    </xf>
    <xf numFmtId="39" fontId="29" fillId="27" borderId="10" xfId="28" applyNumberFormat="1" applyFont="1" applyFill="1" applyBorder="1" applyAlignment="1" applyProtection="1">
      <alignment horizontal="center" vertical="center" wrapText="1"/>
      <protection locked="0"/>
    </xf>
    <xf numFmtId="0" fontId="32" fillId="27" borderId="10" xfId="0" applyFont="1" applyFill="1" applyBorder="1" applyAlignment="1">
      <alignment horizontal="center" vertical="center" wrapText="1"/>
    </xf>
    <xf numFmtId="0" fontId="29" fillId="27" borderId="10" xfId="40" applyFont="1" applyFill="1" applyBorder="1" applyAlignment="1" applyProtection="1">
      <alignment horizontal="center" vertical="center" wrapText="1"/>
      <protection locked="0"/>
    </xf>
    <xf numFmtId="39" fontId="29" fillId="24" borderId="10" xfId="28" applyNumberFormat="1" applyFont="1" applyFill="1" applyBorder="1" applyAlignment="1" applyProtection="1">
      <alignment horizontal="center" vertical="center" wrapText="1"/>
      <protection locked="0"/>
    </xf>
    <xf numFmtId="167" fontId="29" fillId="0" borderId="10" xfId="28" applyNumberFormat="1" applyFont="1" applyFill="1" applyBorder="1" applyAlignment="1" applyProtection="1">
      <alignment horizontal="center" vertical="center" wrapText="1"/>
    </xf>
    <xf numFmtId="167" fontId="29" fillId="26" borderId="10" xfId="28" applyNumberFormat="1" applyFont="1" applyFill="1" applyBorder="1" applyAlignment="1" applyProtection="1">
      <alignment horizontal="center" vertical="center" wrapText="1"/>
    </xf>
    <xf numFmtId="0" fontId="32" fillId="0" borderId="0" xfId="0" applyFont="1" applyAlignment="1">
      <alignment horizontal="center" vertical="center" wrapText="1"/>
    </xf>
    <xf numFmtId="3" fontId="29" fillId="0" borderId="10" xfId="0" applyNumberFormat="1" applyFont="1" applyFill="1" applyBorder="1" applyAlignment="1" applyProtection="1">
      <alignment horizontal="center" vertical="center" wrapText="1"/>
      <protection locked="0"/>
    </xf>
    <xf numFmtId="169" fontId="29" fillId="24" borderId="10" xfId="28" applyNumberFormat="1" applyFont="1" applyFill="1" applyBorder="1" applyAlignment="1" applyProtection="1">
      <alignment horizontal="center" vertical="center" wrapText="1"/>
      <protection hidden="1"/>
    </xf>
    <xf numFmtId="171" fontId="29" fillId="26" borderId="10" xfId="28" applyNumberFormat="1" applyFont="1" applyFill="1" applyBorder="1" applyAlignment="1" applyProtection="1">
      <alignment horizontal="center" vertical="center" wrapText="1"/>
      <protection locked="0"/>
    </xf>
    <xf numFmtId="0" fontId="29" fillId="26" borderId="10" xfId="40" applyFont="1" applyFill="1" applyBorder="1" applyAlignment="1" applyProtection="1">
      <alignment horizontal="center" vertical="center" wrapText="1"/>
      <protection locked="0"/>
    </xf>
    <xf numFmtId="0" fontId="29" fillId="0" borderId="10" xfId="0" applyFont="1" applyBorder="1" applyAlignment="1">
      <alignment horizontal="center" vertical="center" wrapText="1"/>
    </xf>
    <xf numFmtId="0" fontId="30" fillId="25" borderId="11" xfId="40" applyFont="1" applyFill="1" applyBorder="1" applyAlignment="1" applyProtection="1">
      <alignment horizontal="center" vertical="center" wrapText="1"/>
      <protection hidden="1"/>
    </xf>
    <xf numFmtId="0" fontId="30" fillId="25" borderId="12" xfId="40" applyFont="1" applyFill="1" applyBorder="1" applyAlignment="1" applyProtection="1">
      <alignment horizontal="center" vertical="center" wrapText="1"/>
      <protection hidden="1"/>
    </xf>
    <xf numFmtId="0" fontId="27" fillId="0" borderId="0" xfId="0" applyFont="1" applyAlignment="1">
      <alignment horizontal="center"/>
    </xf>
    <xf numFmtId="0" fontId="27" fillId="0" borderId="0" xfId="0" applyFont="1" applyAlignment="1">
      <alignment horizontal="center" vertical="center"/>
    </xf>
    <xf numFmtId="0" fontId="31" fillId="25" borderId="11" xfId="0" applyFont="1" applyFill="1" applyBorder="1" applyAlignment="1">
      <alignment horizontal="center" vertical="center" wrapText="1"/>
    </xf>
    <xf numFmtId="0" fontId="31" fillId="25" borderId="12" xfId="0" applyFont="1" applyFill="1" applyBorder="1" applyAlignment="1">
      <alignment horizontal="center" vertical="center" wrapText="1"/>
    </xf>
    <xf numFmtId="0" fontId="4" fillId="25" borderId="14" xfId="40" applyFont="1" applyFill="1" applyBorder="1" applyAlignment="1">
      <alignment horizontal="center" vertical="center" textRotation="90" wrapText="1"/>
    </xf>
    <xf numFmtId="0" fontId="4" fillId="25" borderId="13" xfId="40" applyFont="1" applyFill="1" applyBorder="1" applyAlignment="1">
      <alignment horizontal="center" vertical="center" textRotation="90" wrapText="1"/>
    </xf>
    <xf numFmtId="0" fontId="4" fillId="25" borderId="14" xfId="40" applyFont="1" applyFill="1" applyBorder="1" applyAlignment="1">
      <alignment horizontal="center" vertical="center" wrapText="1"/>
    </xf>
    <xf numFmtId="0" fontId="4" fillId="25" borderId="13" xfId="40" applyFont="1" applyFill="1" applyBorder="1" applyAlignment="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_Book 1 Table 1"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_Hashvetvutjunner" xfId="40"/>
    <cellStyle name="Note" xfId="41" builtinId="10" customBuiltin="1"/>
    <cellStyle name="Output" xfId="42" builtinId="21" customBuiltin="1"/>
    <cellStyle name="Percent 2" xfId="43"/>
    <cellStyle name="Style 1" xfId="44"/>
    <cellStyle name="Title" xfId="45" builtinId="15" customBuiltin="1"/>
    <cellStyle name="Total" xfId="46" builtinId="25" customBuiltin="1"/>
    <cellStyle name="Warning Text" xfId="47" builtinId="11" customBuiltin="1"/>
    <cellStyle name="Обычный 2" xfId="48"/>
    <cellStyle name="Стиль 1"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2"/>
  <sheetViews>
    <sheetView tabSelected="1" view="pageLayout" zoomScale="87" zoomScaleNormal="100" zoomScalePageLayoutView="87" workbookViewId="0">
      <selection activeCell="E9" sqref="E9"/>
    </sheetView>
  </sheetViews>
  <sheetFormatPr defaultRowHeight="12.75"/>
  <cols>
    <col min="1" max="1" width="23.42578125" customWidth="1"/>
    <col min="2" max="2" width="33" customWidth="1"/>
    <col min="3" max="3" width="11.85546875" customWidth="1"/>
    <col min="4" max="4" width="8" customWidth="1"/>
    <col min="5" max="5" width="11" customWidth="1"/>
    <col min="6" max="6" width="8" customWidth="1"/>
    <col min="7" max="7" width="11.5703125" customWidth="1"/>
    <col min="8" max="8" width="8.140625" customWidth="1"/>
    <col min="9" max="9" width="11.7109375" customWidth="1"/>
    <col min="10" max="10" width="7.42578125" customWidth="1"/>
    <col min="11" max="11" width="12.140625" customWidth="1"/>
  </cols>
  <sheetData>
    <row r="2" spans="1:11" ht="17.25">
      <c r="A2" s="46" t="s">
        <v>49</v>
      </c>
      <c r="B2" s="46"/>
      <c r="C2" s="46"/>
      <c r="D2" s="46"/>
      <c r="E2" s="46"/>
      <c r="F2" s="46"/>
      <c r="G2" s="46"/>
      <c r="H2" s="46"/>
      <c r="I2" s="46"/>
      <c r="J2" s="46"/>
      <c r="K2" s="46"/>
    </row>
    <row r="3" spans="1:11" ht="25.5" customHeight="1">
      <c r="A3" s="46" t="s">
        <v>48</v>
      </c>
      <c r="B3" s="46"/>
      <c r="C3" s="46"/>
      <c r="D3" s="46"/>
      <c r="E3" s="46"/>
      <c r="F3" s="46"/>
      <c r="G3" s="46"/>
      <c r="H3" s="46"/>
      <c r="I3" s="46"/>
      <c r="J3" s="46"/>
      <c r="K3" s="46"/>
    </row>
    <row r="4" spans="1:11" ht="24" customHeight="1">
      <c r="A4" s="47" t="s">
        <v>151</v>
      </c>
      <c r="B4" s="47"/>
      <c r="C4" s="47"/>
      <c r="D4" s="47"/>
      <c r="E4" s="47"/>
      <c r="F4" s="47"/>
      <c r="G4" s="47"/>
      <c r="H4" s="47"/>
      <c r="I4" s="47"/>
      <c r="J4" s="47"/>
      <c r="K4" s="47"/>
    </row>
    <row r="7" spans="1:11" ht="30" customHeight="1">
      <c r="A7" s="52" t="s">
        <v>37</v>
      </c>
      <c r="B7" s="52" t="s">
        <v>2</v>
      </c>
      <c r="C7" s="50" t="s">
        <v>3</v>
      </c>
      <c r="D7" s="44" t="s">
        <v>129</v>
      </c>
      <c r="E7" s="45"/>
      <c r="F7" s="48" t="s">
        <v>130</v>
      </c>
      <c r="G7" s="49"/>
      <c r="H7" s="44" t="s">
        <v>148</v>
      </c>
      <c r="I7" s="45"/>
      <c r="J7" s="44" t="s">
        <v>131</v>
      </c>
      <c r="K7" s="45"/>
    </row>
    <row r="8" spans="1:11" ht="109.5" customHeight="1">
      <c r="A8" s="53"/>
      <c r="B8" s="53"/>
      <c r="C8" s="51"/>
      <c r="D8" s="6" t="s">
        <v>128</v>
      </c>
      <c r="E8" s="6" t="s">
        <v>149</v>
      </c>
      <c r="F8" s="7" t="s">
        <v>128</v>
      </c>
      <c r="G8" s="6" t="s">
        <v>150</v>
      </c>
      <c r="H8" s="7" t="s">
        <v>128</v>
      </c>
      <c r="I8" s="6" t="s">
        <v>150</v>
      </c>
      <c r="J8" s="7" t="s">
        <v>128</v>
      </c>
      <c r="K8" s="6" t="s">
        <v>150</v>
      </c>
    </row>
    <row r="9" spans="1:11" ht="158.25" customHeight="1">
      <c r="A9" s="8" t="s">
        <v>5</v>
      </c>
      <c r="B9" s="9" t="s">
        <v>50</v>
      </c>
      <c r="C9" s="12"/>
      <c r="D9" s="13"/>
      <c r="E9" s="14">
        <v>1578844.2</v>
      </c>
      <c r="F9" s="13"/>
      <c r="G9" s="15">
        <v>1511324.34</v>
      </c>
      <c r="H9" s="16"/>
      <c r="I9" s="15">
        <v>1559306.3</v>
      </c>
      <c r="J9" s="16"/>
      <c r="K9" s="15">
        <v>1506660.73</v>
      </c>
    </row>
    <row r="10" spans="1:11" ht="139.5" customHeight="1">
      <c r="A10" s="5"/>
      <c r="B10" s="4" t="s">
        <v>15</v>
      </c>
      <c r="C10" s="2" t="s">
        <v>38</v>
      </c>
      <c r="D10" s="17">
        <v>125</v>
      </c>
      <c r="E10" s="18"/>
      <c r="F10" s="19">
        <f>35+43+56+68</f>
        <v>202</v>
      </c>
      <c r="G10" s="18"/>
      <c r="H10" s="20">
        <v>132</v>
      </c>
      <c r="I10" s="21"/>
      <c r="J10" s="3">
        <f>69+55+70+53</f>
        <v>247</v>
      </c>
      <c r="K10" s="21"/>
    </row>
    <row r="11" spans="1:11" ht="271.5" customHeight="1">
      <c r="A11" s="5"/>
      <c r="B11" s="4" t="s">
        <v>16</v>
      </c>
      <c r="C11" s="2" t="s">
        <v>38</v>
      </c>
      <c r="D11" s="17">
        <v>750</v>
      </c>
      <c r="E11" s="18"/>
      <c r="F11" s="19">
        <f>189+247+208+325</f>
        <v>969</v>
      </c>
      <c r="G11" s="18"/>
      <c r="H11" s="20">
        <v>993</v>
      </c>
      <c r="I11" s="21"/>
      <c r="J11" s="3">
        <f>239+304+282+342</f>
        <v>1167</v>
      </c>
      <c r="K11" s="21"/>
    </row>
    <row r="12" spans="1:11" ht="158.25" customHeight="1">
      <c r="A12" s="5"/>
      <c r="B12" s="4" t="s">
        <v>17</v>
      </c>
      <c r="C12" s="2"/>
      <c r="D12" s="22">
        <v>1080</v>
      </c>
      <c r="E12" s="18"/>
      <c r="F12" s="19">
        <f>289+331+223+287</f>
        <v>1130</v>
      </c>
      <c r="G12" s="18"/>
      <c r="H12" s="20">
        <v>1218</v>
      </c>
      <c r="I12" s="21"/>
      <c r="J12" s="3">
        <f>252+283+173+402</f>
        <v>1110</v>
      </c>
      <c r="K12" s="21"/>
    </row>
    <row r="13" spans="1:11" ht="226.5" customHeight="1">
      <c r="A13" s="5"/>
      <c r="B13" s="4" t="s">
        <v>18</v>
      </c>
      <c r="C13" s="2" t="s">
        <v>38</v>
      </c>
      <c r="D13" s="17">
        <v>350</v>
      </c>
      <c r="E13" s="18"/>
      <c r="F13" s="19">
        <f>350+4</f>
        <v>354</v>
      </c>
      <c r="G13" s="18"/>
      <c r="H13" s="20">
        <v>350</v>
      </c>
      <c r="I13" s="21"/>
      <c r="J13" s="3">
        <f>354+2</f>
        <v>356</v>
      </c>
      <c r="K13" s="21"/>
    </row>
    <row r="14" spans="1:11" ht="213.75" customHeight="1">
      <c r="A14" s="5"/>
      <c r="B14" s="4" t="s">
        <v>19</v>
      </c>
      <c r="C14" s="2" t="s">
        <v>38</v>
      </c>
      <c r="D14" s="17">
        <v>2830</v>
      </c>
      <c r="E14" s="18"/>
      <c r="F14" s="19">
        <f>63+131+120+110</f>
        <v>424</v>
      </c>
      <c r="G14" s="18"/>
      <c r="H14" s="20">
        <v>354</v>
      </c>
      <c r="I14" s="21"/>
      <c r="J14" s="3">
        <f>234+129+109+91</f>
        <v>563</v>
      </c>
      <c r="K14" s="21"/>
    </row>
    <row r="15" spans="1:11" ht="133.5" customHeight="1">
      <c r="A15" s="5"/>
      <c r="B15" s="4" t="s">
        <v>20</v>
      </c>
      <c r="C15" s="2" t="s">
        <v>38</v>
      </c>
      <c r="D15" s="17">
        <v>30</v>
      </c>
      <c r="E15" s="18"/>
      <c r="F15" s="19">
        <f>5+11+4+5</f>
        <v>25</v>
      </c>
      <c r="G15" s="18"/>
      <c r="H15" s="20">
        <v>26</v>
      </c>
      <c r="I15" s="21"/>
      <c r="J15" s="3">
        <f>52+25+7+7</f>
        <v>91</v>
      </c>
      <c r="K15" s="21"/>
    </row>
    <row r="16" spans="1:11" ht="132.75" customHeight="1">
      <c r="A16" s="5"/>
      <c r="B16" s="4" t="s">
        <v>21</v>
      </c>
      <c r="C16" s="2" t="s">
        <v>38</v>
      </c>
      <c r="D16" s="23">
        <v>32</v>
      </c>
      <c r="E16" s="18"/>
      <c r="F16" s="19">
        <f>21+19+54+17</f>
        <v>111</v>
      </c>
      <c r="G16" s="18"/>
      <c r="H16" s="20">
        <v>67</v>
      </c>
      <c r="I16" s="21"/>
      <c r="J16" s="3">
        <f>25+16+15+15</f>
        <v>71</v>
      </c>
      <c r="K16" s="21"/>
    </row>
    <row r="17" spans="1:11" ht="135" customHeight="1">
      <c r="A17" s="5"/>
      <c r="B17" s="4" t="s">
        <v>22</v>
      </c>
      <c r="C17" s="2" t="s">
        <v>38</v>
      </c>
      <c r="D17" s="17">
        <v>1300</v>
      </c>
      <c r="E17" s="18"/>
      <c r="F17" s="19">
        <f>321+289+348+361</f>
        <v>1319</v>
      </c>
      <c r="G17" s="18"/>
      <c r="H17" s="20">
        <v>1420</v>
      </c>
      <c r="I17" s="21"/>
      <c r="J17" s="3">
        <f>350+302+221+372</f>
        <v>1245</v>
      </c>
      <c r="K17" s="21"/>
    </row>
    <row r="18" spans="1:11" ht="174.75" customHeight="1">
      <c r="A18" s="5"/>
      <c r="B18" s="4" t="s">
        <v>23</v>
      </c>
      <c r="C18" s="2" t="s">
        <v>38</v>
      </c>
      <c r="D18" s="17">
        <v>141</v>
      </c>
      <c r="E18" s="18"/>
      <c r="F18" s="19">
        <f>95+89+72+74</f>
        <v>330</v>
      </c>
      <c r="G18" s="18"/>
      <c r="H18" s="20">
        <v>172</v>
      </c>
      <c r="I18" s="21"/>
      <c r="J18" s="3">
        <f>58+104+46+73</f>
        <v>281</v>
      </c>
      <c r="K18" s="21"/>
    </row>
    <row r="19" spans="1:11" ht="96" customHeight="1">
      <c r="A19" s="5"/>
      <c r="B19" s="4" t="s">
        <v>47</v>
      </c>
      <c r="C19" s="2" t="s">
        <v>38</v>
      </c>
      <c r="D19" s="17">
        <v>95000</v>
      </c>
      <c r="E19" s="18"/>
      <c r="F19" s="19">
        <f>SUM(F20:F26)</f>
        <v>23405</v>
      </c>
      <c r="G19" s="18"/>
      <c r="H19" s="20">
        <v>20557</v>
      </c>
      <c r="I19" s="21"/>
      <c r="J19" s="24">
        <v>26843</v>
      </c>
      <c r="K19" s="21"/>
    </row>
    <row r="20" spans="1:11" ht="36" customHeight="1">
      <c r="A20" s="5"/>
      <c r="B20" s="4" t="s">
        <v>40</v>
      </c>
      <c r="C20" s="2" t="s">
        <v>38</v>
      </c>
      <c r="D20" s="23"/>
      <c r="E20" s="18"/>
      <c r="F20" s="19">
        <f>611+757+1323+899</f>
        <v>3590</v>
      </c>
      <c r="G20" s="18"/>
      <c r="H20" s="20">
        <v>2579</v>
      </c>
      <c r="I20" s="21"/>
      <c r="J20" s="3">
        <f>695+871+1676+1085</f>
        <v>4327</v>
      </c>
      <c r="K20" s="21"/>
    </row>
    <row r="21" spans="1:11" ht="39" customHeight="1">
      <c r="A21" s="5"/>
      <c r="B21" s="4" t="s">
        <v>41</v>
      </c>
      <c r="C21" s="2" t="s">
        <v>38</v>
      </c>
      <c r="D21" s="23"/>
      <c r="E21" s="18"/>
      <c r="F21" s="19">
        <f>512+1041+1607+698</f>
        <v>3858</v>
      </c>
      <c r="G21" s="18"/>
      <c r="H21" s="20">
        <v>2750</v>
      </c>
      <c r="I21" s="21"/>
      <c r="J21" s="3">
        <f>606+1013+1322+674</f>
        <v>3615</v>
      </c>
      <c r="K21" s="21"/>
    </row>
    <row r="22" spans="1:11" ht="106.5" customHeight="1">
      <c r="A22" s="5"/>
      <c r="B22" s="4" t="s">
        <v>146</v>
      </c>
      <c r="C22" s="2" t="s">
        <v>38</v>
      </c>
      <c r="D22" s="23"/>
      <c r="E22" s="18"/>
      <c r="F22" s="19">
        <f>130+176+192+160</f>
        <v>658</v>
      </c>
      <c r="G22" s="18"/>
      <c r="H22" s="20">
        <v>580</v>
      </c>
      <c r="I22" s="21"/>
      <c r="J22" s="3">
        <f>166+116+210+159</f>
        <v>651</v>
      </c>
      <c r="K22" s="21"/>
    </row>
    <row r="23" spans="1:11" ht="72.75" customHeight="1">
      <c r="A23" s="5"/>
      <c r="B23" s="4" t="s">
        <v>42</v>
      </c>
      <c r="C23" s="2" t="s">
        <v>38</v>
      </c>
      <c r="D23" s="23"/>
      <c r="E23" s="18"/>
      <c r="F23" s="19">
        <f>2057+2282+2288+1984</f>
        <v>8611</v>
      </c>
      <c r="G23" s="18"/>
      <c r="H23" s="20">
        <v>8426</v>
      </c>
      <c r="I23" s="21"/>
      <c r="J23" s="3">
        <f>2016+2020+2701+2621</f>
        <v>9358</v>
      </c>
      <c r="K23" s="21"/>
    </row>
    <row r="24" spans="1:11" ht="30.75" customHeight="1">
      <c r="A24" s="5"/>
      <c r="B24" s="4" t="s">
        <v>51</v>
      </c>
      <c r="C24" s="2" t="s">
        <v>38</v>
      </c>
      <c r="D24" s="23"/>
      <c r="E24" s="18"/>
      <c r="F24" s="19">
        <f>37+74+57+65</f>
        <v>233</v>
      </c>
      <c r="G24" s="18"/>
      <c r="H24" s="20">
        <v>215</v>
      </c>
      <c r="I24" s="21"/>
      <c r="J24" s="3">
        <f>39+97+147+72</f>
        <v>355</v>
      </c>
      <c r="K24" s="21"/>
    </row>
    <row r="25" spans="1:11" ht="79.5" customHeight="1">
      <c r="A25" s="5"/>
      <c r="B25" s="4" t="s">
        <v>43</v>
      </c>
      <c r="C25" s="2" t="s">
        <v>38</v>
      </c>
      <c r="D25" s="23"/>
      <c r="E25" s="18"/>
      <c r="F25" s="19">
        <f>1192+1231+1363+1307</f>
        <v>5093</v>
      </c>
      <c r="G25" s="18"/>
      <c r="H25" s="20">
        <v>4760</v>
      </c>
      <c r="I25" s="21"/>
      <c r="J25" s="3">
        <f>1472+1951+1365+1533</f>
        <v>6321</v>
      </c>
      <c r="K25" s="21"/>
    </row>
    <row r="26" spans="1:11" ht="73.5" customHeight="1">
      <c r="A26" s="5"/>
      <c r="B26" s="4" t="s">
        <v>44</v>
      </c>
      <c r="C26" s="2" t="s">
        <v>38</v>
      </c>
      <c r="D26" s="23"/>
      <c r="E26" s="18"/>
      <c r="F26" s="19">
        <f>204+460+358+340</f>
        <v>1362</v>
      </c>
      <c r="G26" s="18"/>
      <c r="H26" s="20">
        <v>1267</v>
      </c>
      <c r="I26" s="21"/>
      <c r="J26" s="3">
        <f>352+358+572+934</f>
        <v>2216</v>
      </c>
      <c r="K26" s="21"/>
    </row>
    <row r="27" spans="1:11" ht="147" customHeight="1">
      <c r="A27" s="5"/>
      <c r="B27" s="4" t="s">
        <v>45</v>
      </c>
      <c r="C27" s="2" t="s">
        <v>38</v>
      </c>
      <c r="D27" s="17">
        <v>1300</v>
      </c>
      <c r="E27" s="18"/>
      <c r="F27" s="19">
        <f>1301+2</f>
        <v>1303</v>
      </c>
      <c r="G27" s="18"/>
      <c r="H27" s="20">
        <v>1300</v>
      </c>
      <c r="I27" s="21"/>
      <c r="J27" s="3">
        <f>1300+2</f>
        <v>1302</v>
      </c>
      <c r="K27" s="21"/>
    </row>
    <row r="28" spans="1:11" ht="255" customHeight="1">
      <c r="A28" s="5"/>
      <c r="B28" s="4" t="s">
        <v>46</v>
      </c>
      <c r="C28" s="2" t="s">
        <v>38</v>
      </c>
      <c r="D28" s="23">
        <v>120</v>
      </c>
      <c r="E28" s="18"/>
      <c r="F28" s="19">
        <f>+(23+4)+(43+4)+(4)+(34)</f>
        <v>112</v>
      </c>
      <c r="G28" s="18"/>
      <c r="H28" s="20">
        <v>156</v>
      </c>
      <c r="I28" s="21"/>
      <c r="J28" s="3">
        <f>31+11+65+36</f>
        <v>143</v>
      </c>
      <c r="K28" s="21"/>
    </row>
    <row r="29" spans="1:11" ht="258" customHeight="1">
      <c r="A29" s="9" t="s">
        <v>50</v>
      </c>
      <c r="B29" s="9"/>
      <c r="C29" s="25"/>
      <c r="D29" s="26"/>
      <c r="E29" s="13"/>
      <c r="F29" s="27"/>
      <c r="G29" s="15">
        <f>16060+8575+11040+12195</f>
        <v>47870</v>
      </c>
      <c r="H29" s="16"/>
      <c r="I29" s="16"/>
      <c r="J29" s="16"/>
      <c r="K29" s="15">
        <f>16790+12990+20795+24820</f>
        <v>75395</v>
      </c>
    </row>
    <row r="30" spans="1:11" ht="104.25" customHeight="1">
      <c r="A30" s="10"/>
      <c r="B30" s="11" t="s">
        <v>52</v>
      </c>
      <c r="C30" s="28" t="s">
        <v>0</v>
      </c>
      <c r="D30" s="29"/>
      <c r="E30" s="30"/>
      <c r="F30" s="31">
        <f>274+154+193</f>
        <v>621</v>
      </c>
      <c r="G30" s="32"/>
      <c r="H30" s="33"/>
      <c r="I30" s="33"/>
      <c r="J30" s="34">
        <f>282+230+370+419</f>
        <v>1301</v>
      </c>
      <c r="K30" s="21"/>
    </row>
    <row r="31" spans="1:11" ht="54" customHeight="1">
      <c r="A31" s="8" t="s">
        <v>6</v>
      </c>
      <c r="B31" s="9"/>
      <c r="C31" s="12"/>
      <c r="D31" s="13"/>
      <c r="E31" s="13">
        <v>33799.800000000003</v>
      </c>
      <c r="F31" s="13"/>
      <c r="G31" s="15">
        <v>33918.019999999997</v>
      </c>
      <c r="H31" s="16"/>
      <c r="I31" s="15">
        <v>36474.199999999997</v>
      </c>
      <c r="J31" s="16"/>
      <c r="K31" s="15">
        <v>36474.15</v>
      </c>
    </row>
    <row r="32" spans="1:11" ht="74.25" customHeight="1">
      <c r="A32" s="5"/>
      <c r="B32" s="4" t="s">
        <v>147</v>
      </c>
      <c r="C32" s="2"/>
      <c r="D32" s="18"/>
      <c r="E32" s="18"/>
      <c r="F32" s="18"/>
      <c r="G32" s="18"/>
      <c r="H32" s="21"/>
      <c r="I32" s="21"/>
      <c r="J32" s="21"/>
      <c r="K32" s="21"/>
    </row>
    <row r="33" spans="1:11" ht="26.25" customHeight="1">
      <c r="A33" s="5"/>
      <c r="B33" s="4" t="s">
        <v>24</v>
      </c>
      <c r="C33" s="2" t="s">
        <v>38</v>
      </c>
      <c r="D33" s="17">
        <v>1</v>
      </c>
      <c r="E33" s="18"/>
      <c r="F33" s="23"/>
      <c r="G33" s="18"/>
      <c r="H33" s="21"/>
      <c r="I33" s="21"/>
      <c r="J33" s="21"/>
      <c r="K33" s="21"/>
    </row>
    <row r="34" spans="1:11" ht="39" customHeight="1">
      <c r="A34" s="5"/>
      <c r="B34" s="4" t="s">
        <v>53</v>
      </c>
      <c r="C34" s="20" t="s">
        <v>35</v>
      </c>
      <c r="D34" s="23"/>
      <c r="E34" s="18"/>
      <c r="F34" s="17">
        <v>1</v>
      </c>
      <c r="G34" s="18"/>
      <c r="H34" s="20">
        <v>1</v>
      </c>
      <c r="I34" s="21"/>
      <c r="J34" s="20">
        <v>1</v>
      </c>
      <c r="K34" s="21"/>
    </row>
    <row r="35" spans="1:11" ht="41.25" customHeight="1">
      <c r="A35" s="5" t="s">
        <v>54</v>
      </c>
      <c r="B35" s="4" t="s">
        <v>55</v>
      </c>
      <c r="C35" s="20"/>
      <c r="D35" s="23"/>
      <c r="E35" s="18"/>
      <c r="F35" s="20"/>
      <c r="G35" s="18"/>
      <c r="H35" s="21"/>
      <c r="I35" s="21"/>
      <c r="J35" s="21"/>
      <c r="K35" s="21"/>
    </row>
    <row r="36" spans="1:11" ht="41.25" customHeight="1">
      <c r="A36" s="5" t="s">
        <v>56</v>
      </c>
      <c r="B36" s="4" t="s">
        <v>57</v>
      </c>
      <c r="C36" s="20"/>
      <c r="D36" s="23"/>
      <c r="E36" s="18"/>
      <c r="F36" s="23"/>
      <c r="G36" s="18"/>
      <c r="H36" s="21"/>
      <c r="I36" s="21"/>
      <c r="J36" s="21"/>
      <c r="K36" s="21"/>
    </row>
    <row r="37" spans="1:11" ht="95.25" customHeight="1">
      <c r="A37" s="5" t="s">
        <v>58</v>
      </c>
      <c r="B37" s="4" t="s">
        <v>59</v>
      </c>
      <c r="C37" s="20"/>
      <c r="D37" s="23"/>
      <c r="E37" s="18"/>
      <c r="F37" s="23"/>
      <c r="G37" s="18"/>
      <c r="H37" s="21"/>
      <c r="I37" s="21"/>
      <c r="J37" s="21"/>
      <c r="K37" s="21"/>
    </row>
    <row r="38" spans="1:11" ht="223.5" customHeight="1">
      <c r="A38" s="8" t="s">
        <v>60</v>
      </c>
      <c r="B38" s="9" t="s">
        <v>61</v>
      </c>
      <c r="C38" s="25"/>
      <c r="D38" s="26"/>
      <c r="E38" s="13"/>
      <c r="F38" s="26"/>
      <c r="G38" s="15">
        <v>12519.5</v>
      </c>
      <c r="H38" s="16"/>
      <c r="I38" s="16"/>
      <c r="J38" s="16"/>
      <c r="K38" s="16"/>
    </row>
    <row r="39" spans="1:11" ht="66" customHeight="1">
      <c r="A39" s="5"/>
      <c r="B39" s="4" t="s">
        <v>32</v>
      </c>
      <c r="C39" s="20" t="s">
        <v>4</v>
      </c>
      <c r="D39" s="18"/>
      <c r="E39" s="21"/>
      <c r="F39" s="19">
        <v>1</v>
      </c>
      <c r="G39" s="35"/>
      <c r="H39" s="21"/>
      <c r="I39" s="21"/>
      <c r="J39" s="21"/>
      <c r="K39" s="21"/>
    </row>
    <row r="40" spans="1:11" ht="103.5" customHeight="1">
      <c r="A40" s="8" t="s">
        <v>62</v>
      </c>
      <c r="B40" s="8" t="s">
        <v>61</v>
      </c>
      <c r="C40" s="8"/>
      <c r="D40" s="8"/>
      <c r="E40" s="8"/>
      <c r="F40" s="8"/>
      <c r="G40" s="8">
        <v>11965.98</v>
      </c>
      <c r="H40" s="8"/>
      <c r="I40" s="8"/>
      <c r="J40" s="8"/>
      <c r="K40" s="8"/>
    </row>
    <row r="41" spans="1:11" ht="54.75" customHeight="1">
      <c r="A41" s="10"/>
      <c r="B41" s="11" t="s">
        <v>32</v>
      </c>
      <c r="C41" s="20" t="s">
        <v>4</v>
      </c>
      <c r="D41" s="18"/>
      <c r="E41" s="21"/>
      <c r="F41" s="19">
        <v>1</v>
      </c>
      <c r="G41" s="32"/>
      <c r="H41" s="21"/>
      <c r="I41" s="21"/>
      <c r="J41" s="21"/>
      <c r="K41" s="21"/>
    </row>
    <row r="42" spans="1:11" ht="152.25" customHeight="1">
      <c r="A42" s="8" t="s">
        <v>63</v>
      </c>
      <c r="B42" s="9" t="s">
        <v>64</v>
      </c>
      <c r="C42" s="9"/>
      <c r="D42" s="9"/>
      <c r="E42" s="9"/>
      <c r="F42" s="9"/>
      <c r="G42" s="9">
        <v>7223.2</v>
      </c>
      <c r="H42" s="9"/>
      <c r="I42" s="9"/>
      <c r="J42" s="9"/>
      <c r="K42" s="9"/>
    </row>
    <row r="43" spans="1:11" ht="39" customHeight="1">
      <c r="A43" s="5"/>
      <c r="B43" s="4" t="s">
        <v>65</v>
      </c>
      <c r="C43" s="20" t="s">
        <v>0</v>
      </c>
      <c r="D43" s="18"/>
      <c r="E43" s="21"/>
      <c r="F43" s="19">
        <v>1</v>
      </c>
      <c r="G43" s="21"/>
      <c r="H43" s="21"/>
      <c r="I43" s="21"/>
      <c r="J43" s="21"/>
      <c r="K43" s="21"/>
    </row>
    <row r="44" spans="1:11" ht="131.25" customHeight="1">
      <c r="A44" s="8" t="s">
        <v>66</v>
      </c>
      <c r="B44" s="9" t="s">
        <v>67</v>
      </c>
      <c r="C44" s="25"/>
      <c r="D44" s="13"/>
      <c r="E44" s="16"/>
      <c r="F44" s="27"/>
      <c r="G44" s="15">
        <v>4793.6000000000004</v>
      </c>
      <c r="H44" s="15"/>
      <c r="I44" s="15"/>
      <c r="J44" s="15"/>
      <c r="K44" s="15"/>
    </row>
    <row r="45" spans="1:11" ht="32.25" customHeight="1">
      <c r="A45" s="5"/>
      <c r="B45" s="4" t="s">
        <v>65</v>
      </c>
      <c r="C45" s="20" t="s">
        <v>0</v>
      </c>
      <c r="D45" s="18"/>
      <c r="E45" s="21"/>
      <c r="F45" s="19">
        <v>1</v>
      </c>
      <c r="G45" s="21"/>
      <c r="H45" s="21"/>
      <c r="I45" s="21"/>
      <c r="J45" s="21"/>
      <c r="K45" s="21"/>
    </row>
    <row r="46" spans="1:11" ht="177" customHeight="1">
      <c r="A46" s="8" t="s">
        <v>68</v>
      </c>
      <c r="B46" s="9" t="s">
        <v>69</v>
      </c>
      <c r="C46" s="25"/>
      <c r="D46" s="13"/>
      <c r="E46" s="16"/>
      <c r="F46" s="27"/>
      <c r="G46" s="15">
        <v>16777.5</v>
      </c>
      <c r="H46" s="15"/>
      <c r="I46" s="15"/>
      <c r="J46" s="15"/>
      <c r="K46" s="15"/>
    </row>
    <row r="47" spans="1:11" ht="29.25" customHeight="1">
      <c r="A47" s="5"/>
      <c r="B47" s="4" t="s">
        <v>65</v>
      </c>
      <c r="C47" s="20" t="s">
        <v>0</v>
      </c>
      <c r="D47" s="18"/>
      <c r="E47" s="36"/>
      <c r="F47" s="40">
        <v>1</v>
      </c>
      <c r="G47" s="36"/>
      <c r="H47" s="21"/>
      <c r="I47" s="21"/>
      <c r="J47" s="21"/>
      <c r="K47" s="21"/>
    </row>
    <row r="48" spans="1:11" ht="51" customHeight="1">
      <c r="A48" s="8" t="s">
        <v>9</v>
      </c>
      <c r="B48" s="9" t="s">
        <v>25</v>
      </c>
      <c r="C48" s="12"/>
      <c r="D48" s="13"/>
      <c r="E48" s="13">
        <v>44223.7</v>
      </c>
      <c r="F48" s="13"/>
      <c r="G48" s="15">
        <v>44159.1</v>
      </c>
      <c r="H48" s="13"/>
      <c r="I48" s="13">
        <v>41255.599999999999</v>
      </c>
      <c r="J48" s="13"/>
      <c r="K48" s="13">
        <v>41255.599999999999</v>
      </c>
    </row>
    <row r="49" spans="1:11" ht="51" customHeight="1">
      <c r="A49" s="5"/>
      <c r="B49" s="4" t="s">
        <v>70</v>
      </c>
      <c r="C49" s="20" t="s">
        <v>38</v>
      </c>
      <c r="D49" s="17">
        <v>27</v>
      </c>
      <c r="E49" s="18"/>
      <c r="F49" s="19">
        <f>29-4</f>
        <v>25</v>
      </c>
      <c r="G49" s="18"/>
      <c r="H49" s="20">
        <v>27</v>
      </c>
      <c r="I49" s="21"/>
      <c r="J49" s="3">
        <v>24</v>
      </c>
      <c r="K49" s="21"/>
    </row>
    <row r="50" spans="1:11" ht="81" customHeight="1">
      <c r="A50" s="5"/>
      <c r="B50" s="4" t="s">
        <v>71</v>
      </c>
      <c r="C50" s="20" t="s">
        <v>38</v>
      </c>
      <c r="D50" s="23"/>
      <c r="E50" s="18"/>
      <c r="F50" s="19">
        <v>18</v>
      </c>
      <c r="G50" s="18"/>
      <c r="H50" s="20">
        <v>35</v>
      </c>
      <c r="I50" s="21"/>
      <c r="J50" s="3">
        <f>23+9</f>
        <v>32</v>
      </c>
      <c r="K50" s="21"/>
    </row>
    <row r="51" spans="1:11" ht="62.25" customHeight="1">
      <c r="A51" s="5"/>
      <c r="B51" s="4" t="s">
        <v>72</v>
      </c>
      <c r="C51" s="20" t="s">
        <v>1</v>
      </c>
      <c r="D51" s="23"/>
      <c r="E51" s="18"/>
      <c r="F51" s="17">
        <v>100</v>
      </c>
      <c r="G51" s="18"/>
      <c r="H51" s="20">
        <v>100</v>
      </c>
      <c r="I51" s="21"/>
      <c r="J51" s="20">
        <v>100</v>
      </c>
      <c r="K51" s="21"/>
    </row>
    <row r="52" spans="1:11" ht="61.5" customHeight="1">
      <c r="A52" s="5"/>
      <c r="B52" s="4" t="s">
        <v>73</v>
      </c>
      <c r="C52" s="2"/>
      <c r="D52" s="23"/>
      <c r="E52" s="18"/>
      <c r="F52" s="23"/>
      <c r="G52" s="18"/>
      <c r="H52" s="21"/>
      <c r="I52" s="21"/>
      <c r="J52" s="21"/>
      <c r="K52" s="21"/>
    </row>
    <row r="53" spans="1:11" ht="60.75" customHeight="1">
      <c r="A53" s="5"/>
      <c r="B53" s="4" t="s">
        <v>74</v>
      </c>
      <c r="C53" s="20" t="s">
        <v>1</v>
      </c>
      <c r="D53" s="23"/>
      <c r="E53" s="18"/>
      <c r="F53" s="19">
        <v>0</v>
      </c>
      <c r="G53" s="18"/>
      <c r="H53" s="20">
        <v>25</v>
      </c>
      <c r="I53" s="21"/>
      <c r="J53" s="3">
        <v>50</v>
      </c>
      <c r="K53" s="21"/>
    </row>
    <row r="54" spans="1:11" ht="35.25" customHeight="1">
      <c r="A54" s="5"/>
      <c r="B54" s="4" t="s">
        <v>75</v>
      </c>
      <c r="C54" s="20" t="s">
        <v>1</v>
      </c>
      <c r="D54" s="23"/>
      <c r="E54" s="18"/>
      <c r="F54" s="19">
        <v>83.3</v>
      </c>
      <c r="G54" s="18"/>
      <c r="H54" s="20">
        <v>90</v>
      </c>
      <c r="I54" s="21"/>
      <c r="J54" s="3">
        <v>95.65</v>
      </c>
      <c r="K54" s="21"/>
    </row>
    <row r="55" spans="1:11" ht="59.25" customHeight="1">
      <c r="A55" s="5"/>
      <c r="B55" s="4" t="s">
        <v>76</v>
      </c>
      <c r="C55" s="20" t="s">
        <v>34</v>
      </c>
      <c r="D55" s="23"/>
      <c r="E55" s="18"/>
      <c r="F55" s="23">
        <v>11</v>
      </c>
      <c r="G55" s="18"/>
      <c r="H55" s="20">
        <v>11</v>
      </c>
      <c r="I55" s="21"/>
      <c r="J55" s="20">
        <v>11</v>
      </c>
      <c r="K55" s="21"/>
    </row>
    <row r="56" spans="1:11" ht="48.75" customHeight="1">
      <c r="A56" s="5"/>
      <c r="B56" s="4" t="s">
        <v>77</v>
      </c>
      <c r="C56" s="20"/>
      <c r="D56" s="23"/>
      <c r="E56" s="18"/>
      <c r="F56" s="23"/>
      <c r="G56" s="18"/>
      <c r="H56" s="21"/>
      <c r="I56" s="21"/>
      <c r="J56" s="21"/>
      <c r="K56" s="21"/>
    </row>
    <row r="57" spans="1:11" ht="62.25" customHeight="1">
      <c r="A57" s="5"/>
      <c r="B57" s="4" t="s">
        <v>74</v>
      </c>
      <c r="C57" s="20" t="s">
        <v>34</v>
      </c>
      <c r="D57" s="23"/>
      <c r="E57" s="18"/>
      <c r="F57" s="17">
        <v>1</v>
      </c>
      <c r="G57" s="18"/>
      <c r="H57" s="20">
        <v>1</v>
      </c>
      <c r="I57" s="21"/>
      <c r="J57" s="20">
        <v>1</v>
      </c>
      <c r="K57" s="21"/>
    </row>
    <row r="58" spans="1:11" ht="38.25" customHeight="1">
      <c r="A58" s="5"/>
      <c r="B58" s="4" t="s">
        <v>78</v>
      </c>
      <c r="C58" s="20" t="s">
        <v>34</v>
      </c>
      <c r="D58" s="23"/>
      <c r="E58" s="18"/>
      <c r="F58" s="19">
        <v>2</v>
      </c>
      <c r="G58" s="18"/>
      <c r="H58" s="20">
        <v>4</v>
      </c>
      <c r="I58" s="21"/>
      <c r="J58" s="20">
        <v>4</v>
      </c>
      <c r="K58" s="21"/>
    </row>
    <row r="59" spans="1:11" ht="151.5" customHeight="1">
      <c r="A59" s="8" t="s">
        <v>10</v>
      </c>
      <c r="B59" s="9" t="s">
        <v>111</v>
      </c>
      <c r="C59" s="12"/>
      <c r="D59" s="13"/>
      <c r="E59" s="37">
        <v>9587637.1999999993</v>
      </c>
      <c r="F59" s="13"/>
      <c r="G59" s="15">
        <f>9643687.03+11171.59</f>
        <v>9654858.6199999992</v>
      </c>
      <c r="H59" s="16"/>
      <c r="I59" s="15">
        <v>10159389.300000001</v>
      </c>
      <c r="J59" s="16"/>
      <c r="K59" s="41">
        <v>10155932.539999999</v>
      </c>
    </row>
    <row r="60" spans="1:11" ht="211.5" customHeight="1">
      <c r="A60" s="5"/>
      <c r="B60" s="4" t="s">
        <v>26</v>
      </c>
      <c r="C60" s="20" t="s">
        <v>0</v>
      </c>
      <c r="D60" s="17">
        <v>57</v>
      </c>
      <c r="E60" s="36"/>
      <c r="F60" s="19">
        <v>58</v>
      </c>
      <c r="G60" s="36"/>
      <c r="H60" s="20">
        <v>58</v>
      </c>
      <c r="I60" s="21"/>
      <c r="J60" s="20">
        <v>58</v>
      </c>
      <c r="K60" s="21"/>
    </row>
    <row r="61" spans="1:11" ht="126" customHeight="1">
      <c r="A61" s="5"/>
      <c r="B61" s="4" t="s">
        <v>79</v>
      </c>
      <c r="C61" s="20" t="s">
        <v>0</v>
      </c>
      <c r="D61" s="23"/>
      <c r="E61" s="36"/>
      <c r="F61" s="19">
        <v>114</v>
      </c>
      <c r="G61" s="36"/>
      <c r="H61" s="20">
        <v>114</v>
      </c>
      <c r="I61" s="21"/>
      <c r="J61" s="20">
        <v>114</v>
      </c>
      <c r="K61" s="21"/>
    </row>
    <row r="62" spans="1:11" ht="134.25" customHeight="1">
      <c r="A62" s="5"/>
      <c r="B62" s="4" t="s">
        <v>80</v>
      </c>
      <c r="C62" s="20" t="s">
        <v>0</v>
      </c>
      <c r="D62" s="23"/>
      <c r="E62" s="36"/>
      <c r="F62" s="19">
        <f>SUM(F63:F76)</f>
        <v>113009</v>
      </c>
      <c r="G62" s="36"/>
      <c r="H62" s="20">
        <v>91776</v>
      </c>
      <c r="I62" s="21"/>
      <c r="J62" s="43">
        <v>112779</v>
      </c>
      <c r="K62" s="21"/>
    </row>
    <row r="63" spans="1:11" ht="46.5" customHeight="1">
      <c r="A63" s="5"/>
      <c r="B63" s="4" t="s">
        <v>81</v>
      </c>
      <c r="C63" s="20" t="s">
        <v>0</v>
      </c>
      <c r="D63" s="23"/>
      <c r="E63" s="36"/>
      <c r="F63" s="19">
        <f>3131+2986+3005+3632</f>
        <v>12754</v>
      </c>
      <c r="G63" s="36"/>
      <c r="H63" s="20">
        <v>12249</v>
      </c>
      <c r="I63" s="21"/>
      <c r="J63" s="3">
        <f>2942+3537+3317+2942</f>
        <v>12738</v>
      </c>
      <c r="K63" s="21"/>
    </row>
    <row r="64" spans="1:11" ht="60.75" customHeight="1">
      <c r="A64" s="5"/>
      <c r="B64" s="4" t="s">
        <v>82</v>
      </c>
      <c r="C64" s="20" t="s">
        <v>0</v>
      </c>
      <c r="D64" s="23"/>
      <c r="E64" s="36"/>
      <c r="F64" s="19">
        <f>3236+(6964+180)+6050+5724</f>
        <v>22154</v>
      </c>
      <c r="G64" s="36"/>
      <c r="H64" s="20">
        <v>16636</v>
      </c>
      <c r="I64" s="21"/>
      <c r="J64" s="3">
        <f>(5679+4)+(6321+343)+2920+5196</f>
        <v>20463</v>
      </c>
      <c r="K64" s="21"/>
    </row>
    <row r="65" spans="1:11" ht="48" customHeight="1">
      <c r="A65" s="5"/>
      <c r="B65" s="4" t="s">
        <v>83</v>
      </c>
      <c r="C65" s="20" t="s">
        <v>0</v>
      </c>
      <c r="D65" s="23"/>
      <c r="E65" s="36"/>
      <c r="F65" s="19">
        <f>1909+(5216+10)+7199+2237</f>
        <v>16571</v>
      </c>
      <c r="G65" s="36"/>
      <c r="H65" s="20">
        <v>11534</v>
      </c>
      <c r="I65" s="21"/>
      <c r="J65" s="3">
        <f>(1736+11)+(6181+77)+6840+1699</f>
        <v>16544</v>
      </c>
      <c r="K65" s="21"/>
    </row>
    <row r="66" spans="1:11" ht="28.5" customHeight="1">
      <c r="A66" s="5"/>
      <c r="B66" s="4" t="s">
        <v>84</v>
      </c>
      <c r="C66" s="20" t="s">
        <v>0</v>
      </c>
      <c r="D66" s="23"/>
      <c r="E66" s="36"/>
      <c r="F66" s="19">
        <f>5221+(7368+45)+7046+6243</f>
        <v>25923</v>
      </c>
      <c r="G66" s="36"/>
      <c r="H66" s="20">
        <v>22810</v>
      </c>
      <c r="I66" s="21"/>
      <c r="J66" s="3">
        <f>(4063+4)+(7209+196)+3171+6060</f>
        <v>20703</v>
      </c>
      <c r="K66" s="21"/>
    </row>
    <row r="67" spans="1:11" ht="39" customHeight="1">
      <c r="A67" s="5"/>
      <c r="B67" s="4" t="s">
        <v>85</v>
      </c>
      <c r="C67" s="20" t="s">
        <v>0</v>
      </c>
      <c r="D67" s="23"/>
      <c r="E67" s="36"/>
      <c r="F67" s="19">
        <f>2482+(2463+52)+2620+3205</f>
        <v>10822</v>
      </c>
      <c r="G67" s="36"/>
      <c r="H67" s="20">
        <v>9627</v>
      </c>
      <c r="I67" s="21"/>
      <c r="J67" s="3">
        <f>(3023+7)+(2608+251)+1379+3047</f>
        <v>10315</v>
      </c>
      <c r="K67" s="21"/>
    </row>
    <row r="68" spans="1:11" ht="45" customHeight="1">
      <c r="A68" s="5"/>
      <c r="B68" s="4" t="s">
        <v>86</v>
      </c>
      <c r="C68" s="20" t="s">
        <v>0</v>
      </c>
      <c r="D68" s="23"/>
      <c r="E68" s="36"/>
      <c r="F68" s="19">
        <f>941+(1121+1)+1652+1901</f>
        <v>5616</v>
      </c>
      <c r="G68" s="36"/>
      <c r="H68" s="20">
        <v>4100</v>
      </c>
      <c r="I68" s="21"/>
      <c r="J68" s="3">
        <f>1581+(1504+34)+1295+1934</f>
        <v>6348</v>
      </c>
      <c r="K68" s="21"/>
    </row>
    <row r="69" spans="1:11" ht="45" customHeight="1">
      <c r="A69" s="5"/>
      <c r="B69" s="4" t="s">
        <v>87</v>
      </c>
      <c r="C69" s="20" t="s">
        <v>0</v>
      </c>
      <c r="D69" s="23"/>
      <c r="E69" s="36"/>
      <c r="F69" s="19">
        <f>7+4+3+12</f>
        <v>26</v>
      </c>
      <c r="G69" s="36"/>
      <c r="H69" s="20">
        <v>24</v>
      </c>
      <c r="I69" s="21"/>
      <c r="J69" s="3">
        <f>7+0+2+0</f>
        <v>9</v>
      </c>
      <c r="K69" s="21"/>
    </row>
    <row r="70" spans="1:11" ht="73.5" customHeight="1">
      <c r="A70" s="5"/>
      <c r="B70" s="4" t="s">
        <v>88</v>
      </c>
      <c r="C70" s="20" t="s">
        <v>0</v>
      </c>
      <c r="D70" s="23"/>
      <c r="E70" s="36"/>
      <c r="F70" s="19">
        <f>3+2+3+2</f>
        <v>10</v>
      </c>
      <c r="G70" s="36"/>
      <c r="H70" s="20">
        <v>11</v>
      </c>
      <c r="I70" s="21"/>
      <c r="J70" s="3">
        <f>2+3+4+3</f>
        <v>12</v>
      </c>
      <c r="K70" s="21"/>
    </row>
    <row r="71" spans="1:11" ht="43.5" customHeight="1">
      <c r="A71" s="5"/>
      <c r="B71" s="4" t="s">
        <v>89</v>
      </c>
      <c r="C71" s="20" t="s">
        <v>0</v>
      </c>
      <c r="D71" s="23"/>
      <c r="E71" s="36"/>
      <c r="F71" s="19">
        <f>0+0+0+0</f>
        <v>0</v>
      </c>
      <c r="G71" s="36"/>
      <c r="H71" s="20">
        <v>2</v>
      </c>
      <c r="I71" s="21"/>
      <c r="J71" s="3">
        <f>0+0+0+0</f>
        <v>0</v>
      </c>
      <c r="K71" s="21"/>
    </row>
    <row r="72" spans="1:11" ht="47.25" customHeight="1">
      <c r="A72" s="5"/>
      <c r="B72" s="4" t="s">
        <v>90</v>
      </c>
      <c r="C72" s="20" t="s">
        <v>0</v>
      </c>
      <c r="D72" s="23"/>
      <c r="E72" s="36"/>
      <c r="F72" s="19">
        <f>55+(61+3)+158+81</f>
        <v>358</v>
      </c>
      <c r="G72" s="36"/>
      <c r="H72" s="20">
        <v>225</v>
      </c>
      <c r="I72" s="21"/>
      <c r="J72" s="3">
        <f>53+(78+7)+47+96</f>
        <v>281</v>
      </c>
      <c r="K72" s="21"/>
    </row>
    <row r="73" spans="1:11" ht="33.75" customHeight="1">
      <c r="A73" s="5"/>
      <c r="B73" s="4" t="s">
        <v>91</v>
      </c>
      <c r="C73" s="20" t="s">
        <v>0</v>
      </c>
      <c r="D73" s="23"/>
      <c r="E73" s="36"/>
      <c r="F73" s="19">
        <f>1318+(1723+60)+1976+2128</f>
        <v>7205</v>
      </c>
      <c r="G73" s="36"/>
      <c r="H73" s="20">
        <v>5661</v>
      </c>
      <c r="I73" s="21"/>
      <c r="J73" s="3">
        <f>(1983+12)+(2683+128)+2590+2855</f>
        <v>10251</v>
      </c>
      <c r="K73" s="21"/>
    </row>
    <row r="74" spans="1:11" ht="33.75" customHeight="1">
      <c r="A74" s="5"/>
      <c r="B74" s="4" t="s">
        <v>92</v>
      </c>
      <c r="C74" s="20" t="s">
        <v>0</v>
      </c>
      <c r="D74" s="23"/>
      <c r="E74" s="36"/>
      <c r="F74" s="19">
        <f>2011+(2567+0)+2874+3748</f>
        <v>11200</v>
      </c>
      <c r="G74" s="36"/>
      <c r="H74" s="20">
        <v>8594</v>
      </c>
      <c r="I74" s="21"/>
      <c r="J74" s="3">
        <f>2730+3352+4332+3946</f>
        <v>14360</v>
      </c>
      <c r="K74" s="21"/>
    </row>
    <row r="75" spans="1:11" ht="87" customHeight="1">
      <c r="A75" s="5"/>
      <c r="B75" s="4" t="s">
        <v>93</v>
      </c>
      <c r="C75" s="20" t="s">
        <v>0</v>
      </c>
      <c r="D75" s="23"/>
      <c r="E75" s="36"/>
      <c r="F75" s="19">
        <f>23+27+32+37</f>
        <v>119</v>
      </c>
      <c r="G75" s="36"/>
      <c r="H75" s="20">
        <v>103</v>
      </c>
      <c r="I75" s="21"/>
      <c r="J75" s="3">
        <f>43+57+63+67</f>
        <v>230</v>
      </c>
      <c r="K75" s="21"/>
    </row>
    <row r="76" spans="1:11" ht="91.5" customHeight="1">
      <c r="A76" s="5"/>
      <c r="B76" s="4" t="s">
        <v>94</v>
      </c>
      <c r="C76" s="20" t="s">
        <v>0</v>
      </c>
      <c r="D76" s="23"/>
      <c r="E76" s="36"/>
      <c r="F76" s="19">
        <f>41+61+72+77</f>
        <v>251</v>
      </c>
      <c r="G76" s="36"/>
      <c r="H76" s="20">
        <v>200</v>
      </c>
      <c r="I76" s="21"/>
      <c r="J76" s="3">
        <f>85+113+155+172</f>
        <v>525</v>
      </c>
      <c r="K76" s="21"/>
    </row>
    <row r="77" spans="1:11" ht="51" customHeight="1">
      <c r="A77" s="5"/>
      <c r="B77" s="4" t="s">
        <v>95</v>
      </c>
      <c r="C77" s="20" t="s">
        <v>1</v>
      </c>
      <c r="D77" s="23"/>
      <c r="E77" s="36"/>
      <c r="F77" s="19">
        <v>12</v>
      </c>
      <c r="G77" s="36"/>
      <c r="H77" s="20">
        <v>20</v>
      </c>
      <c r="I77" s="21"/>
      <c r="J77" s="3">
        <f>8+1+1+1</f>
        <v>11</v>
      </c>
      <c r="K77" s="21"/>
    </row>
    <row r="78" spans="1:11" ht="45" customHeight="1">
      <c r="A78" s="5"/>
      <c r="B78" s="4" t="s">
        <v>96</v>
      </c>
      <c r="C78" s="20"/>
      <c r="D78" s="23"/>
      <c r="E78" s="36"/>
      <c r="F78" s="23"/>
      <c r="G78" s="36"/>
      <c r="H78" s="21"/>
      <c r="I78" s="21"/>
      <c r="J78" s="21"/>
      <c r="K78" s="21"/>
    </row>
    <row r="79" spans="1:11" ht="25.5" customHeight="1">
      <c r="A79" s="5"/>
      <c r="B79" s="4" t="s">
        <v>97</v>
      </c>
      <c r="C79" s="20" t="s">
        <v>34</v>
      </c>
      <c r="D79" s="23"/>
      <c r="E79" s="36"/>
      <c r="F79" s="19">
        <v>3</v>
      </c>
      <c r="G79" s="36"/>
      <c r="H79" s="20">
        <v>3</v>
      </c>
      <c r="I79" s="21"/>
      <c r="J79" s="20">
        <v>3</v>
      </c>
      <c r="K79" s="21"/>
    </row>
    <row r="80" spans="1:11" ht="28.5" customHeight="1">
      <c r="A80" s="5"/>
      <c r="B80" s="4" t="s">
        <v>98</v>
      </c>
      <c r="C80" s="20" t="s">
        <v>34</v>
      </c>
      <c r="D80" s="23"/>
      <c r="E80" s="36"/>
      <c r="F80" s="19">
        <v>15</v>
      </c>
      <c r="G80" s="36"/>
      <c r="H80" s="20">
        <v>15</v>
      </c>
      <c r="I80" s="21"/>
      <c r="J80" s="20">
        <v>15</v>
      </c>
      <c r="K80" s="21"/>
    </row>
    <row r="81" spans="1:11" ht="66.75" customHeight="1">
      <c r="A81" s="5"/>
      <c r="B81" s="4" t="s">
        <v>99</v>
      </c>
      <c r="C81" s="2"/>
      <c r="D81" s="23"/>
      <c r="E81" s="36"/>
      <c r="F81" s="23"/>
      <c r="G81" s="36"/>
      <c r="H81" s="21"/>
      <c r="I81" s="21"/>
      <c r="J81" s="21"/>
      <c r="K81" s="21"/>
    </row>
    <row r="82" spans="1:11" ht="24" customHeight="1">
      <c r="A82" s="5"/>
      <c r="B82" s="4" t="s">
        <v>97</v>
      </c>
      <c r="C82" s="20" t="s">
        <v>34</v>
      </c>
      <c r="D82" s="23"/>
      <c r="E82" s="36"/>
      <c r="F82" s="19">
        <v>1</v>
      </c>
      <c r="G82" s="36"/>
      <c r="H82" s="20">
        <v>1</v>
      </c>
      <c r="I82" s="21"/>
      <c r="J82" s="20">
        <v>1</v>
      </c>
      <c r="K82" s="21"/>
    </row>
    <row r="83" spans="1:11" ht="23.25" customHeight="1">
      <c r="A83" s="5"/>
      <c r="B83" s="4" t="s">
        <v>98</v>
      </c>
      <c r="C83" s="20" t="s">
        <v>34</v>
      </c>
      <c r="D83" s="23"/>
      <c r="E83" s="36"/>
      <c r="F83" s="19">
        <v>10</v>
      </c>
      <c r="G83" s="36"/>
      <c r="H83" s="20">
        <v>10</v>
      </c>
      <c r="I83" s="21"/>
      <c r="J83" s="20">
        <v>10</v>
      </c>
      <c r="K83" s="21"/>
    </row>
    <row r="84" spans="1:11" ht="30" customHeight="1">
      <c r="A84" s="5"/>
      <c r="B84" s="4" t="s">
        <v>100</v>
      </c>
      <c r="C84" s="2"/>
      <c r="D84" s="23"/>
      <c r="E84" s="36"/>
      <c r="F84" s="23"/>
      <c r="G84" s="36"/>
      <c r="H84" s="21"/>
      <c r="I84" s="21"/>
      <c r="J84" s="21"/>
      <c r="K84" s="21"/>
    </row>
    <row r="85" spans="1:11" ht="25.5" customHeight="1">
      <c r="A85" s="5"/>
      <c r="B85" s="4" t="s">
        <v>97</v>
      </c>
      <c r="C85" s="20" t="s">
        <v>34</v>
      </c>
      <c r="D85" s="23"/>
      <c r="E85" s="36"/>
      <c r="F85" s="19">
        <v>7</v>
      </c>
      <c r="G85" s="36"/>
      <c r="H85" s="19">
        <v>7</v>
      </c>
      <c r="I85" s="21"/>
      <c r="J85" s="19">
        <v>7</v>
      </c>
      <c r="K85" s="21"/>
    </row>
    <row r="86" spans="1:11" ht="30" customHeight="1">
      <c r="A86" s="5"/>
      <c r="B86" s="4" t="s">
        <v>98</v>
      </c>
      <c r="C86" s="20" t="s">
        <v>34</v>
      </c>
      <c r="D86" s="23"/>
      <c r="E86" s="36"/>
      <c r="F86" s="19">
        <v>14</v>
      </c>
      <c r="G86" s="36"/>
      <c r="H86" s="19">
        <v>14</v>
      </c>
      <c r="I86" s="21"/>
      <c r="J86" s="19">
        <v>14</v>
      </c>
      <c r="K86" s="21"/>
    </row>
    <row r="87" spans="1:11" ht="30" customHeight="1">
      <c r="A87" s="5"/>
      <c r="B87" s="4" t="s">
        <v>101</v>
      </c>
      <c r="C87" s="2"/>
      <c r="D87" s="23"/>
      <c r="E87" s="36"/>
      <c r="F87" s="38"/>
      <c r="G87" s="36"/>
      <c r="H87" s="21"/>
      <c r="I87" s="21"/>
      <c r="J87" s="21"/>
      <c r="K87" s="21"/>
    </row>
    <row r="88" spans="1:11" ht="30" customHeight="1">
      <c r="A88" s="5"/>
      <c r="B88" s="4" t="s">
        <v>97</v>
      </c>
      <c r="C88" s="20" t="s">
        <v>34</v>
      </c>
      <c r="D88" s="23"/>
      <c r="E88" s="36"/>
      <c r="F88" s="19">
        <v>45</v>
      </c>
      <c r="G88" s="36"/>
      <c r="H88" s="19">
        <v>45</v>
      </c>
      <c r="I88" s="21"/>
      <c r="J88" s="19">
        <v>45</v>
      </c>
      <c r="K88" s="21"/>
    </row>
    <row r="89" spans="1:11" ht="30" customHeight="1">
      <c r="A89" s="5"/>
      <c r="B89" s="4" t="s">
        <v>98</v>
      </c>
      <c r="C89" s="20" t="s">
        <v>34</v>
      </c>
      <c r="D89" s="23"/>
      <c r="E89" s="36"/>
      <c r="F89" s="19">
        <v>60</v>
      </c>
      <c r="G89" s="36"/>
      <c r="H89" s="19">
        <v>60</v>
      </c>
      <c r="I89" s="21"/>
      <c r="J89" s="19">
        <v>60</v>
      </c>
      <c r="K89" s="21"/>
    </row>
    <row r="90" spans="1:11" ht="51" customHeight="1">
      <c r="A90" s="5"/>
      <c r="B90" s="4" t="s">
        <v>102</v>
      </c>
      <c r="C90" s="2"/>
      <c r="D90" s="23"/>
      <c r="E90" s="36"/>
      <c r="F90" s="23"/>
      <c r="G90" s="36"/>
      <c r="H90" s="21"/>
      <c r="I90" s="21"/>
      <c r="J90" s="21"/>
      <c r="K90" s="21"/>
    </row>
    <row r="91" spans="1:11" ht="30" customHeight="1">
      <c r="A91" s="5"/>
      <c r="B91" s="4" t="s">
        <v>97</v>
      </c>
      <c r="C91" s="20" t="s">
        <v>34</v>
      </c>
      <c r="D91" s="23"/>
      <c r="E91" s="36"/>
      <c r="F91" s="19">
        <v>15</v>
      </c>
      <c r="G91" s="36"/>
      <c r="H91" s="20">
        <v>180</v>
      </c>
      <c r="I91" s="21"/>
      <c r="J91" s="20">
        <v>180</v>
      </c>
      <c r="K91" s="21"/>
    </row>
    <row r="92" spans="1:11" ht="30" customHeight="1">
      <c r="A92" s="5"/>
      <c r="B92" s="4" t="s">
        <v>98</v>
      </c>
      <c r="C92" s="20" t="s">
        <v>34</v>
      </c>
      <c r="D92" s="23"/>
      <c r="E92" s="36"/>
      <c r="F92" s="19">
        <v>30</v>
      </c>
      <c r="G92" s="36"/>
      <c r="H92" s="20">
        <v>365</v>
      </c>
      <c r="I92" s="21"/>
      <c r="J92" s="20">
        <v>365</v>
      </c>
      <c r="K92" s="21"/>
    </row>
    <row r="93" spans="1:11" ht="30" customHeight="1">
      <c r="A93" s="5"/>
      <c r="B93" s="4" t="s">
        <v>103</v>
      </c>
      <c r="C93" s="2"/>
      <c r="D93" s="23"/>
      <c r="E93" s="36"/>
      <c r="F93" s="23"/>
      <c r="G93" s="36"/>
      <c r="H93" s="21"/>
      <c r="I93" s="21"/>
      <c r="J93" s="21"/>
      <c r="K93" s="21"/>
    </row>
    <row r="94" spans="1:11" ht="30" customHeight="1">
      <c r="A94" s="5"/>
      <c r="B94" s="4" t="s">
        <v>97</v>
      </c>
      <c r="C94" s="20" t="s">
        <v>34</v>
      </c>
      <c r="D94" s="23"/>
      <c r="E94" s="36"/>
      <c r="F94" s="19">
        <v>1</v>
      </c>
      <c r="G94" s="36"/>
      <c r="H94" s="20">
        <v>1</v>
      </c>
      <c r="I94" s="21"/>
      <c r="J94" s="20">
        <v>1</v>
      </c>
      <c r="K94" s="21"/>
    </row>
    <row r="95" spans="1:11" ht="30" customHeight="1">
      <c r="A95" s="5"/>
      <c r="B95" s="4" t="s">
        <v>98</v>
      </c>
      <c r="C95" s="20" t="s">
        <v>34</v>
      </c>
      <c r="D95" s="23"/>
      <c r="E95" s="36"/>
      <c r="F95" s="19">
        <v>10</v>
      </c>
      <c r="G95" s="36"/>
      <c r="H95" s="20">
        <v>10</v>
      </c>
      <c r="I95" s="21"/>
      <c r="J95" s="20">
        <v>10</v>
      </c>
      <c r="K95" s="21"/>
    </row>
    <row r="96" spans="1:11" ht="45.75" customHeight="1">
      <c r="A96" s="5"/>
      <c r="B96" s="4" t="s">
        <v>104</v>
      </c>
      <c r="C96" s="2"/>
      <c r="D96" s="23"/>
      <c r="E96" s="36"/>
      <c r="F96" s="23"/>
      <c r="G96" s="36"/>
      <c r="H96" s="21"/>
      <c r="I96" s="21"/>
      <c r="J96" s="21"/>
      <c r="K96" s="21"/>
    </row>
    <row r="97" spans="1:11" ht="30" customHeight="1">
      <c r="A97" s="5"/>
      <c r="B97" s="4" t="s">
        <v>97</v>
      </c>
      <c r="C97" s="20" t="s">
        <v>34</v>
      </c>
      <c r="D97" s="23"/>
      <c r="E97" s="36"/>
      <c r="F97" s="19">
        <v>10</v>
      </c>
      <c r="G97" s="36"/>
      <c r="H97" s="19">
        <v>10</v>
      </c>
      <c r="I97" s="21"/>
      <c r="J97" s="19">
        <v>10</v>
      </c>
      <c r="K97" s="21"/>
    </row>
    <row r="98" spans="1:11" ht="30" customHeight="1">
      <c r="A98" s="5"/>
      <c r="B98" s="4" t="s">
        <v>98</v>
      </c>
      <c r="C98" s="20" t="s">
        <v>34</v>
      </c>
      <c r="D98" s="23"/>
      <c r="E98" s="36"/>
      <c r="F98" s="19">
        <v>30</v>
      </c>
      <c r="G98" s="36"/>
      <c r="H98" s="19">
        <v>30</v>
      </c>
      <c r="I98" s="21"/>
      <c r="J98" s="19">
        <v>30</v>
      </c>
      <c r="K98" s="21"/>
    </row>
    <row r="99" spans="1:11" ht="75" customHeight="1">
      <c r="A99" s="5"/>
      <c r="B99" s="4" t="s">
        <v>105</v>
      </c>
      <c r="C99" s="2"/>
      <c r="D99" s="23"/>
      <c r="E99" s="36"/>
      <c r="F99" s="23"/>
      <c r="G99" s="36"/>
      <c r="H99" s="21"/>
      <c r="I99" s="21"/>
      <c r="J99" s="21"/>
      <c r="K99" s="21"/>
    </row>
    <row r="100" spans="1:11" ht="28.5" customHeight="1">
      <c r="A100" s="5"/>
      <c r="B100" s="4" t="s">
        <v>97</v>
      </c>
      <c r="C100" s="20" t="s">
        <v>34</v>
      </c>
      <c r="D100" s="23"/>
      <c r="E100" s="36"/>
      <c r="F100" s="19">
        <v>10</v>
      </c>
      <c r="G100" s="36"/>
      <c r="H100" s="20">
        <v>10</v>
      </c>
      <c r="I100" s="21"/>
      <c r="J100" s="20">
        <v>10</v>
      </c>
      <c r="K100" s="21"/>
    </row>
    <row r="101" spans="1:11" ht="30" customHeight="1">
      <c r="A101" s="5"/>
      <c r="B101" s="4" t="s">
        <v>98</v>
      </c>
      <c r="C101" s="20" t="s">
        <v>34</v>
      </c>
      <c r="D101" s="23"/>
      <c r="E101" s="36"/>
      <c r="F101" s="19">
        <v>30</v>
      </c>
      <c r="G101" s="36"/>
      <c r="H101" s="20">
        <v>30</v>
      </c>
      <c r="I101" s="21"/>
      <c r="J101" s="20">
        <v>30</v>
      </c>
      <c r="K101" s="21"/>
    </row>
    <row r="102" spans="1:11" ht="33.75" customHeight="1">
      <c r="A102" s="5"/>
      <c r="B102" s="4" t="s">
        <v>106</v>
      </c>
      <c r="C102" s="2"/>
      <c r="D102" s="23"/>
      <c r="E102" s="36"/>
      <c r="F102" s="23"/>
      <c r="G102" s="36"/>
      <c r="H102" s="21"/>
      <c r="I102" s="21"/>
      <c r="J102" s="21"/>
      <c r="K102" s="21"/>
    </row>
    <row r="103" spans="1:11" ht="30" customHeight="1">
      <c r="A103" s="5"/>
      <c r="B103" s="4" t="s">
        <v>97</v>
      </c>
      <c r="C103" s="20" t="s">
        <v>34</v>
      </c>
      <c r="D103" s="23"/>
      <c r="E103" s="36"/>
      <c r="F103" s="19">
        <v>3</v>
      </c>
      <c r="G103" s="36"/>
      <c r="H103" s="19">
        <v>3</v>
      </c>
      <c r="I103" s="21"/>
      <c r="J103" s="19">
        <v>3</v>
      </c>
      <c r="K103" s="21"/>
    </row>
    <row r="104" spans="1:11" ht="30" customHeight="1">
      <c r="A104" s="5"/>
      <c r="B104" s="4" t="s">
        <v>98</v>
      </c>
      <c r="C104" s="20" t="s">
        <v>34</v>
      </c>
      <c r="D104" s="23"/>
      <c r="E104" s="36"/>
      <c r="F104" s="19">
        <v>10</v>
      </c>
      <c r="G104" s="36"/>
      <c r="H104" s="19">
        <v>10</v>
      </c>
      <c r="I104" s="21"/>
      <c r="J104" s="19">
        <v>10</v>
      </c>
      <c r="K104" s="21"/>
    </row>
    <row r="105" spans="1:11" ht="48.75" customHeight="1">
      <c r="A105" s="5"/>
      <c r="B105" s="4" t="s">
        <v>107</v>
      </c>
      <c r="C105" s="2"/>
      <c r="D105" s="23"/>
      <c r="E105" s="36"/>
      <c r="F105" s="23"/>
      <c r="G105" s="36"/>
      <c r="H105" s="21"/>
      <c r="I105" s="21"/>
      <c r="J105" s="21"/>
      <c r="K105" s="21"/>
    </row>
    <row r="106" spans="1:11" ht="30" customHeight="1">
      <c r="A106" s="5"/>
      <c r="B106" s="4" t="s">
        <v>97</v>
      </c>
      <c r="C106" s="20" t="s">
        <v>34</v>
      </c>
      <c r="D106" s="23"/>
      <c r="E106" s="36"/>
      <c r="F106" s="19">
        <v>1</v>
      </c>
      <c r="G106" s="36"/>
      <c r="H106" s="20">
        <v>1</v>
      </c>
      <c r="I106" s="21"/>
      <c r="J106" s="20">
        <v>1</v>
      </c>
      <c r="K106" s="21"/>
    </row>
    <row r="107" spans="1:11" ht="30" customHeight="1">
      <c r="A107" s="5"/>
      <c r="B107" s="4" t="s">
        <v>98</v>
      </c>
      <c r="C107" s="20" t="s">
        <v>34</v>
      </c>
      <c r="D107" s="23"/>
      <c r="E107" s="36"/>
      <c r="F107" s="19">
        <v>5</v>
      </c>
      <c r="G107" s="36"/>
      <c r="H107" s="20">
        <v>5</v>
      </c>
      <c r="I107" s="21"/>
      <c r="J107" s="20">
        <v>5</v>
      </c>
      <c r="K107" s="21"/>
    </row>
    <row r="108" spans="1:11" ht="30" customHeight="1">
      <c r="A108" s="5"/>
      <c r="B108" s="4" t="s">
        <v>108</v>
      </c>
      <c r="C108" s="2"/>
      <c r="D108" s="23"/>
      <c r="E108" s="36"/>
      <c r="F108" s="19"/>
      <c r="G108" s="36"/>
      <c r="H108" s="21"/>
      <c r="I108" s="21"/>
      <c r="J108" s="21"/>
      <c r="K108" s="21"/>
    </row>
    <row r="109" spans="1:11" ht="30" customHeight="1">
      <c r="A109" s="5"/>
      <c r="B109" s="4" t="s">
        <v>97</v>
      </c>
      <c r="C109" s="20" t="s">
        <v>34</v>
      </c>
      <c r="D109" s="23"/>
      <c r="E109" s="36"/>
      <c r="F109" s="19">
        <v>1</v>
      </c>
      <c r="G109" s="36"/>
      <c r="H109" s="20">
        <v>1</v>
      </c>
      <c r="I109" s="21"/>
      <c r="J109" s="20">
        <v>1</v>
      </c>
      <c r="K109" s="21"/>
    </row>
    <row r="110" spans="1:11" ht="30" customHeight="1">
      <c r="A110" s="5"/>
      <c r="B110" s="4" t="s">
        <v>98</v>
      </c>
      <c r="C110" s="20" t="s">
        <v>34</v>
      </c>
      <c r="D110" s="23"/>
      <c r="E110" s="36"/>
      <c r="F110" s="19">
        <v>5</v>
      </c>
      <c r="G110" s="36"/>
      <c r="H110" s="20">
        <v>5</v>
      </c>
      <c r="I110" s="21"/>
      <c r="J110" s="20">
        <v>5</v>
      </c>
      <c r="K110" s="21"/>
    </row>
    <row r="111" spans="1:11" ht="87.75" customHeight="1">
      <c r="A111" s="5"/>
      <c r="B111" s="4" t="s">
        <v>109</v>
      </c>
      <c r="C111" s="2"/>
      <c r="D111" s="23"/>
      <c r="E111" s="36"/>
      <c r="F111" s="19"/>
      <c r="G111" s="36"/>
      <c r="H111" s="21"/>
      <c r="I111" s="21"/>
      <c r="J111" s="21"/>
      <c r="K111" s="21"/>
    </row>
    <row r="112" spans="1:11" ht="28.5" customHeight="1">
      <c r="A112" s="5"/>
      <c r="B112" s="4" t="s">
        <v>97</v>
      </c>
      <c r="C112" s="20" t="s">
        <v>34</v>
      </c>
      <c r="D112" s="23"/>
      <c r="E112" s="36"/>
      <c r="F112" s="19">
        <v>5</v>
      </c>
      <c r="G112" s="36"/>
      <c r="H112" s="20">
        <v>5</v>
      </c>
      <c r="I112" s="21"/>
      <c r="J112" s="20">
        <v>5</v>
      </c>
      <c r="K112" s="21"/>
    </row>
    <row r="113" spans="1:11" ht="32.25" customHeight="1">
      <c r="A113" s="5"/>
      <c r="B113" s="4" t="s">
        <v>98</v>
      </c>
      <c r="C113" s="20" t="s">
        <v>34</v>
      </c>
      <c r="D113" s="23"/>
      <c r="E113" s="36"/>
      <c r="F113" s="19">
        <v>15</v>
      </c>
      <c r="G113" s="36"/>
      <c r="H113" s="20">
        <v>15</v>
      </c>
      <c r="I113" s="21"/>
      <c r="J113" s="20">
        <v>15</v>
      </c>
      <c r="K113" s="21"/>
    </row>
    <row r="114" spans="1:11" ht="83.25" customHeight="1">
      <c r="A114" s="5"/>
      <c r="B114" s="4" t="s">
        <v>110</v>
      </c>
      <c r="C114" s="2"/>
      <c r="D114" s="23"/>
      <c r="E114" s="36"/>
      <c r="F114" s="23"/>
      <c r="G114" s="36"/>
      <c r="H114" s="21"/>
      <c r="I114" s="21"/>
      <c r="J114" s="21"/>
      <c r="K114" s="21"/>
    </row>
    <row r="115" spans="1:11" ht="27.75" customHeight="1">
      <c r="A115" s="5"/>
      <c r="B115" s="4" t="s">
        <v>97</v>
      </c>
      <c r="C115" s="20" t="s">
        <v>34</v>
      </c>
      <c r="D115" s="23"/>
      <c r="E115" s="36"/>
      <c r="F115" s="19">
        <v>5</v>
      </c>
      <c r="G115" s="36"/>
      <c r="H115" s="20">
        <v>5</v>
      </c>
      <c r="I115" s="21"/>
      <c r="J115" s="20">
        <v>5</v>
      </c>
      <c r="K115" s="21"/>
    </row>
    <row r="116" spans="1:11" ht="30" customHeight="1">
      <c r="A116" s="5"/>
      <c r="B116" s="4" t="s">
        <v>98</v>
      </c>
      <c r="C116" s="20" t="s">
        <v>34</v>
      </c>
      <c r="D116" s="23"/>
      <c r="E116" s="36"/>
      <c r="F116" s="19">
        <v>15</v>
      </c>
      <c r="G116" s="36"/>
      <c r="H116" s="20">
        <v>15</v>
      </c>
      <c r="I116" s="21"/>
      <c r="J116" s="20">
        <v>15</v>
      </c>
      <c r="K116" s="21"/>
    </row>
    <row r="117" spans="1:11" ht="59.25" customHeight="1">
      <c r="A117" s="8" t="s">
        <v>11</v>
      </c>
      <c r="B117" s="9"/>
      <c r="C117" s="12"/>
      <c r="D117" s="13"/>
      <c r="E117" s="37">
        <v>8400</v>
      </c>
      <c r="F117" s="13"/>
      <c r="G117" s="15">
        <v>42899.94</v>
      </c>
      <c r="H117" s="16"/>
      <c r="I117" s="15">
        <v>7920.4</v>
      </c>
      <c r="J117" s="16"/>
      <c r="K117" s="15">
        <v>7910</v>
      </c>
    </row>
    <row r="118" spans="1:11" ht="34.5" customHeight="1">
      <c r="A118" s="5"/>
      <c r="B118" s="4" t="s">
        <v>27</v>
      </c>
      <c r="C118" s="20" t="s">
        <v>0</v>
      </c>
      <c r="D118" s="23">
        <v>500</v>
      </c>
      <c r="E118" s="18"/>
      <c r="F118" s="19">
        <v>500</v>
      </c>
      <c r="G118" s="18"/>
      <c r="H118" s="39">
        <v>500</v>
      </c>
      <c r="I118" s="21"/>
      <c r="J118" s="39">
        <v>250</v>
      </c>
      <c r="K118" s="21"/>
    </row>
    <row r="119" spans="1:11" ht="49.5" customHeight="1">
      <c r="A119" s="5"/>
      <c r="B119" s="4" t="s">
        <v>112</v>
      </c>
      <c r="C119" s="20" t="s">
        <v>0</v>
      </c>
      <c r="D119" s="23">
        <v>60000</v>
      </c>
      <c r="E119" s="18"/>
      <c r="F119" s="23">
        <v>60000</v>
      </c>
      <c r="G119" s="23"/>
      <c r="H119" s="23">
        <v>60000</v>
      </c>
      <c r="I119" s="23"/>
      <c r="J119" s="23">
        <v>56500</v>
      </c>
      <c r="K119" s="21"/>
    </row>
    <row r="120" spans="1:11" ht="30.75" customHeight="1">
      <c r="A120" s="5"/>
      <c r="B120" s="4" t="s">
        <v>28</v>
      </c>
      <c r="C120" s="20" t="s">
        <v>0</v>
      </c>
      <c r="D120" s="23"/>
      <c r="E120" s="18"/>
      <c r="F120" s="19">
        <v>84900</v>
      </c>
      <c r="G120" s="18"/>
      <c r="H120" s="21"/>
      <c r="I120" s="21"/>
      <c r="J120" s="21"/>
      <c r="K120" s="21"/>
    </row>
    <row r="121" spans="1:11" ht="32.25" customHeight="1">
      <c r="A121" s="5"/>
      <c r="B121" s="4" t="s">
        <v>29</v>
      </c>
      <c r="C121" s="20" t="s">
        <v>0</v>
      </c>
      <c r="D121" s="23"/>
      <c r="E121" s="18"/>
      <c r="F121" s="19">
        <v>30799</v>
      </c>
      <c r="G121" s="18"/>
      <c r="H121" s="21"/>
      <c r="I121" s="21"/>
      <c r="J121" s="21"/>
      <c r="K121" s="21"/>
    </row>
    <row r="122" spans="1:11" ht="38.25" customHeight="1">
      <c r="A122" s="5"/>
      <c r="B122" s="4" t="s">
        <v>113</v>
      </c>
      <c r="C122" s="20" t="s">
        <v>0</v>
      </c>
      <c r="D122" s="23"/>
      <c r="E122" s="18"/>
      <c r="F122" s="19">
        <v>49998</v>
      </c>
      <c r="G122" s="18"/>
      <c r="H122" s="21"/>
      <c r="I122" s="21"/>
      <c r="J122" s="21"/>
      <c r="K122" s="21"/>
    </row>
    <row r="123" spans="1:11" ht="77.25" customHeight="1">
      <c r="A123" s="5"/>
      <c r="B123" s="4" t="s">
        <v>114</v>
      </c>
      <c r="C123" s="20" t="s">
        <v>1</v>
      </c>
      <c r="D123" s="23"/>
      <c r="E123" s="18"/>
      <c r="F123" s="19">
        <v>100</v>
      </c>
      <c r="G123" s="18"/>
      <c r="H123" s="20">
        <v>100</v>
      </c>
      <c r="I123" s="21"/>
      <c r="J123" s="20">
        <v>100</v>
      </c>
      <c r="K123" s="21"/>
    </row>
    <row r="124" spans="1:11" ht="42.75" customHeight="1">
      <c r="A124" s="5"/>
      <c r="B124" s="4" t="s">
        <v>115</v>
      </c>
      <c r="C124" s="20" t="s">
        <v>34</v>
      </c>
      <c r="D124" s="23"/>
      <c r="E124" s="18"/>
      <c r="F124" s="17">
        <v>1</v>
      </c>
      <c r="G124" s="18"/>
      <c r="H124" s="21"/>
      <c r="I124" s="21"/>
      <c r="J124" s="21"/>
      <c r="K124" s="21"/>
    </row>
    <row r="125" spans="1:11" ht="41.25" customHeight="1">
      <c r="A125" s="5"/>
      <c r="B125" s="5" t="s">
        <v>132</v>
      </c>
      <c r="C125" s="20" t="s">
        <v>34</v>
      </c>
      <c r="D125" s="23"/>
      <c r="E125" s="18"/>
      <c r="F125" s="23"/>
      <c r="G125" s="18"/>
      <c r="H125" s="20">
        <v>1</v>
      </c>
      <c r="I125" s="21"/>
      <c r="J125" s="20">
        <v>1</v>
      </c>
      <c r="K125" s="21"/>
    </row>
    <row r="126" spans="1:11" ht="75" customHeight="1">
      <c r="A126" s="5"/>
      <c r="B126" s="4" t="s">
        <v>116</v>
      </c>
      <c r="C126" s="20" t="s">
        <v>34</v>
      </c>
      <c r="D126" s="23"/>
      <c r="E126" s="18"/>
      <c r="F126" s="23">
        <v>1</v>
      </c>
      <c r="G126" s="18"/>
      <c r="H126" s="21"/>
      <c r="I126" s="21"/>
      <c r="J126" s="21"/>
      <c r="K126" s="21"/>
    </row>
    <row r="127" spans="1:11" ht="135" customHeight="1">
      <c r="A127" s="8" t="s">
        <v>39</v>
      </c>
      <c r="B127" s="8" t="s">
        <v>39</v>
      </c>
      <c r="C127" s="12"/>
      <c r="D127" s="26"/>
      <c r="E127" s="13">
        <v>8660.4</v>
      </c>
      <c r="F127" s="26"/>
      <c r="G127" s="13"/>
      <c r="H127" s="16"/>
      <c r="I127" s="16"/>
      <c r="J127" s="16"/>
      <c r="K127" s="16"/>
    </row>
    <row r="128" spans="1:11" ht="150.75" customHeight="1">
      <c r="A128" s="9" t="s">
        <v>133</v>
      </c>
      <c r="B128" s="8" t="s">
        <v>134</v>
      </c>
      <c r="C128" s="25"/>
      <c r="D128" s="26"/>
      <c r="E128" s="13"/>
      <c r="F128" s="26"/>
      <c r="G128" s="13"/>
      <c r="H128" s="16"/>
      <c r="I128" s="15">
        <v>1438354.5</v>
      </c>
      <c r="J128" s="16"/>
      <c r="K128" s="15">
        <v>1349660.57</v>
      </c>
    </row>
    <row r="129" spans="1:11" ht="78" customHeight="1">
      <c r="A129" s="4"/>
      <c r="B129" s="5" t="s">
        <v>135</v>
      </c>
      <c r="C129" s="20" t="s">
        <v>0</v>
      </c>
      <c r="D129" s="29"/>
      <c r="E129" s="30"/>
      <c r="F129" s="29"/>
      <c r="G129" s="30"/>
      <c r="H129" s="33"/>
      <c r="I129" s="33"/>
      <c r="J129" s="33"/>
      <c r="K129" s="33"/>
    </row>
    <row r="130" spans="1:11" ht="44.25" customHeight="1">
      <c r="A130" s="4"/>
      <c r="B130" s="5" t="s">
        <v>136</v>
      </c>
      <c r="C130" s="20" t="s">
        <v>1</v>
      </c>
      <c r="D130" s="29"/>
      <c r="E130" s="30"/>
      <c r="F130" s="29"/>
      <c r="G130" s="30"/>
      <c r="H130" s="33"/>
      <c r="I130" s="33"/>
      <c r="J130" s="33"/>
      <c r="K130" s="33"/>
    </row>
    <row r="131" spans="1:11" ht="29.25" customHeight="1">
      <c r="A131" s="4"/>
      <c r="B131" s="5" t="s">
        <v>137</v>
      </c>
      <c r="C131" s="20" t="s">
        <v>34</v>
      </c>
      <c r="D131" s="29"/>
      <c r="E131" s="30"/>
      <c r="F131" s="29"/>
      <c r="G131" s="30"/>
      <c r="H131" s="33"/>
      <c r="I131" s="33"/>
      <c r="J131" s="33"/>
      <c r="K131" s="33"/>
    </row>
    <row r="132" spans="1:11" ht="87.75" customHeight="1">
      <c r="A132" s="8" t="s">
        <v>12</v>
      </c>
      <c r="B132" s="9"/>
      <c r="C132" s="25"/>
      <c r="D132" s="13"/>
      <c r="E132" s="37"/>
      <c r="F132" s="13"/>
      <c r="G132" s="15">
        <v>14604</v>
      </c>
      <c r="H132" s="16"/>
      <c r="I132" s="15">
        <v>20448</v>
      </c>
      <c r="J132" s="16"/>
      <c r="K132" s="15">
        <v>14322</v>
      </c>
    </row>
    <row r="133" spans="1:11" ht="45.75" customHeight="1">
      <c r="A133" s="5"/>
      <c r="B133" s="4" t="s">
        <v>36</v>
      </c>
      <c r="C133" s="20" t="s">
        <v>4</v>
      </c>
      <c r="D133" s="18"/>
      <c r="E133" s="18"/>
      <c r="F133" s="19">
        <f>(1+171+0+4)+(21+0-1-4)+(4+3+0+0)</f>
        <v>199</v>
      </c>
      <c r="G133" s="18"/>
      <c r="H133" s="20">
        <v>284</v>
      </c>
      <c r="I133" s="21"/>
      <c r="J133" s="3">
        <f>(181+6)+(1+0)+(4+0)+(0+2)</f>
        <v>194</v>
      </c>
      <c r="K133" s="21"/>
    </row>
    <row r="134" spans="1:11" ht="30" customHeight="1">
      <c r="A134" s="5"/>
      <c r="B134" s="4" t="s">
        <v>30</v>
      </c>
      <c r="C134" s="20" t="s">
        <v>117</v>
      </c>
      <c r="D134" s="23"/>
      <c r="E134" s="18"/>
      <c r="F134" s="23"/>
      <c r="G134" s="18"/>
      <c r="H134" s="21"/>
      <c r="I134" s="21"/>
      <c r="J134" s="21"/>
      <c r="K134" s="21"/>
    </row>
    <row r="135" spans="1:11" ht="53.25" customHeight="1">
      <c r="A135" s="8" t="s">
        <v>13</v>
      </c>
      <c r="B135" s="9"/>
      <c r="C135" s="25"/>
      <c r="D135" s="13"/>
      <c r="E135" s="37">
        <v>26041.5</v>
      </c>
      <c r="F135" s="13"/>
      <c r="G135" s="15">
        <v>26133</v>
      </c>
      <c r="H135" s="16"/>
      <c r="I135" s="15">
        <v>24414.7</v>
      </c>
      <c r="J135" s="16"/>
      <c r="K135" s="15">
        <v>6103.19</v>
      </c>
    </row>
    <row r="136" spans="1:11" ht="42.75" customHeight="1">
      <c r="A136" s="5"/>
      <c r="B136" s="4" t="s">
        <v>31</v>
      </c>
      <c r="C136" s="20" t="s">
        <v>4</v>
      </c>
      <c r="D136" s="17">
        <v>1</v>
      </c>
      <c r="E136" s="18"/>
      <c r="F136" s="17">
        <v>1</v>
      </c>
      <c r="G136" s="18"/>
      <c r="H136" s="20">
        <v>1</v>
      </c>
      <c r="I136" s="21"/>
      <c r="J136" s="20">
        <v>1</v>
      </c>
      <c r="K136" s="21"/>
    </row>
    <row r="137" spans="1:11" ht="42" customHeight="1">
      <c r="A137" s="5"/>
      <c r="B137" s="4" t="s">
        <v>30</v>
      </c>
      <c r="C137" s="20" t="s">
        <v>118</v>
      </c>
      <c r="D137" s="18"/>
      <c r="E137" s="18"/>
      <c r="F137" s="18"/>
      <c r="G137" s="18"/>
      <c r="H137" s="21"/>
      <c r="I137" s="21"/>
      <c r="J137" s="21"/>
      <c r="K137" s="21"/>
    </row>
    <row r="138" spans="1:11" ht="57.75" customHeight="1">
      <c r="A138" s="8" t="s">
        <v>119</v>
      </c>
      <c r="B138" s="9"/>
      <c r="C138" s="25"/>
      <c r="D138" s="13"/>
      <c r="E138" s="15">
        <v>9600</v>
      </c>
      <c r="F138" s="13"/>
      <c r="G138" s="15">
        <v>9600</v>
      </c>
      <c r="H138" s="16"/>
      <c r="I138" s="15">
        <v>9600</v>
      </c>
      <c r="J138" s="16"/>
      <c r="K138" s="15">
        <v>9600</v>
      </c>
    </row>
    <row r="139" spans="1:11" ht="69" customHeight="1">
      <c r="A139" s="5"/>
      <c r="B139" s="4" t="s">
        <v>120</v>
      </c>
      <c r="C139" s="20" t="s">
        <v>4</v>
      </c>
      <c r="D139" s="18"/>
      <c r="E139" s="18"/>
      <c r="F139" s="18"/>
      <c r="G139" s="18"/>
      <c r="H139" s="21">
        <v>1</v>
      </c>
      <c r="I139" s="21"/>
      <c r="J139" s="21">
        <v>1</v>
      </c>
      <c r="K139" s="21"/>
    </row>
    <row r="140" spans="1:11" ht="32.25" customHeight="1">
      <c r="A140" s="5"/>
      <c r="B140" s="4" t="s">
        <v>30</v>
      </c>
      <c r="C140" s="20" t="s">
        <v>121</v>
      </c>
      <c r="D140" s="18"/>
      <c r="E140" s="18"/>
      <c r="F140" s="18"/>
      <c r="G140" s="18"/>
      <c r="H140" s="21"/>
      <c r="I140" s="21"/>
      <c r="J140" s="21"/>
      <c r="K140" s="21"/>
    </row>
    <row r="141" spans="1:11" ht="60.75" customHeight="1">
      <c r="A141" s="8" t="s">
        <v>14</v>
      </c>
      <c r="B141" s="9"/>
      <c r="C141" s="12"/>
      <c r="D141" s="13"/>
      <c r="E141" s="37">
        <v>2420167.4</v>
      </c>
      <c r="F141" s="13"/>
      <c r="G141" s="15">
        <v>2074267.4</v>
      </c>
      <c r="H141" s="16"/>
      <c r="I141" s="15">
        <v>2490965</v>
      </c>
      <c r="J141" s="16"/>
      <c r="K141" s="15">
        <v>2340270.14</v>
      </c>
    </row>
    <row r="142" spans="1:11" ht="56.25" customHeight="1">
      <c r="A142" s="5"/>
      <c r="B142" s="4" t="s">
        <v>33</v>
      </c>
      <c r="C142" s="20" t="s">
        <v>4</v>
      </c>
      <c r="D142" s="23">
        <v>98</v>
      </c>
      <c r="E142" s="18"/>
      <c r="F142" s="19">
        <f>25+22+10+40</f>
        <v>97</v>
      </c>
      <c r="G142" s="18"/>
      <c r="H142" s="20">
        <v>96</v>
      </c>
      <c r="I142" s="21"/>
      <c r="J142" s="3">
        <f>42+5+3+34</f>
        <v>84</v>
      </c>
      <c r="K142" s="21"/>
    </row>
    <row r="143" spans="1:11" ht="67.5" customHeight="1">
      <c r="A143" s="5"/>
      <c r="B143" s="4" t="s">
        <v>122</v>
      </c>
      <c r="C143" s="20" t="s">
        <v>4</v>
      </c>
      <c r="D143" s="23"/>
      <c r="E143" s="18"/>
      <c r="F143" s="19">
        <f>8+7+(8-7)+4</f>
        <v>20</v>
      </c>
      <c r="G143" s="18"/>
      <c r="H143" s="20">
        <v>29</v>
      </c>
      <c r="I143" s="21"/>
      <c r="J143" s="3">
        <f>12+3+13+0</f>
        <v>28</v>
      </c>
      <c r="K143" s="21"/>
    </row>
    <row r="144" spans="1:11" ht="79.5" customHeight="1">
      <c r="A144" s="5"/>
      <c r="B144" s="4" t="s">
        <v>30</v>
      </c>
      <c r="C144" s="20" t="s">
        <v>123</v>
      </c>
      <c r="D144" s="23"/>
      <c r="E144" s="18"/>
      <c r="F144" s="19"/>
      <c r="G144" s="18"/>
      <c r="H144" s="21"/>
      <c r="I144" s="21"/>
      <c r="J144" s="21"/>
      <c r="K144" s="21"/>
    </row>
    <row r="145" spans="1:11" ht="107.25" customHeight="1">
      <c r="A145" s="8" t="s">
        <v>7</v>
      </c>
      <c r="B145" s="9" t="s">
        <v>138</v>
      </c>
      <c r="C145" s="25"/>
      <c r="D145" s="13"/>
      <c r="E145" s="13"/>
      <c r="F145" s="13"/>
      <c r="G145" s="15">
        <f>4207.6+3372+3365.9+2550.8</f>
        <v>13496.3</v>
      </c>
      <c r="H145" s="16"/>
      <c r="I145" s="16"/>
      <c r="J145" s="16"/>
      <c r="K145" s="15">
        <v>5852.9</v>
      </c>
    </row>
    <row r="146" spans="1:11" ht="36.75" customHeight="1">
      <c r="A146" s="5"/>
      <c r="B146" s="4" t="s">
        <v>124</v>
      </c>
      <c r="C146" s="20" t="s">
        <v>125</v>
      </c>
      <c r="D146" s="18"/>
      <c r="E146" s="36"/>
      <c r="F146" s="18"/>
      <c r="G146" s="36"/>
      <c r="H146" s="20" t="s">
        <v>125</v>
      </c>
      <c r="I146" s="21"/>
      <c r="J146" s="21"/>
      <c r="K146" s="21"/>
    </row>
    <row r="147" spans="1:11" ht="34.5" customHeight="1">
      <c r="A147" s="8" t="s">
        <v>8</v>
      </c>
      <c r="B147" s="9" t="s">
        <v>126</v>
      </c>
      <c r="C147" s="25"/>
      <c r="D147" s="26"/>
      <c r="E147" s="13"/>
      <c r="F147" s="26"/>
      <c r="G147" s="15">
        <f>21775.1+1568+1568+8298.6</f>
        <v>33209.699999999997</v>
      </c>
      <c r="H147" s="16"/>
      <c r="I147" s="16"/>
      <c r="J147" s="16"/>
      <c r="K147" s="15">
        <f>27258.9+1686.1+1686.1+4347.5</f>
        <v>34978.6</v>
      </c>
    </row>
    <row r="148" spans="1:11" ht="36.75" customHeight="1">
      <c r="A148" s="5"/>
      <c r="B148" s="4" t="s">
        <v>124</v>
      </c>
      <c r="C148" s="20" t="s">
        <v>127</v>
      </c>
      <c r="D148" s="23"/>
      <c r="E148" s="18"/>
      <c r="F148" s="23"/>
      <c r="G148" s="18"/>
      <c r="H148" s="20" t="s">
        <v>139</v>
      </c>
      <c r="I148" s="21"/>
      <c r="J148" s="21"/>
      <c r="K148" s="21"/>
    </row>
    <row r="149" spans="1:11" ht="150" customHeight="1">
      <c r="A149" s="8" t="s">
        <v>140</v>
      </c>
      <c r="B149" s="9" t="s">
        <v>141</v>
      </c>
      <c r="C149" s="16"/>
      <c r="D149" s="16"/>
      <c r="E149" s="16"/>
      <c r="F149" s="16"/>
      <c r="G149" s="16"/>
      <c r="H149" s="16"/>
      <c r="I149" s="16"/>
      <c r="J149" s="16"/>
      <c r="K149" s="15">
        <v>5973.38</v>
      </c>
    </row>
    <row r="150" spans="1:11" ht="150.75" customHeight="1">
      <c r="A150" s="8" t="s">
        <v>140</v>
      </c>
      <c r="B150" s="9" t="s">
        <v>141</v>
      </c>
      <c r="C150" s="16"/>
      <c r="D150" s="16"/>
      <c r="E150" s="16"/>
      <c r="F150" s="16"/>
      <c r="G150" s="16"/>
      <c r="H150" s="16"/>
      <c r="I150" s="16"/>
      <c r="J150" s="16"/>
      <c r="K150" s="15">
        <v>376364.88</v>
      </c>
    </row>
    <row r="151" spans="1:11" ht="150.75" customHeight="1">
      <c r="A151" s="8" t="s">
        <v>142</v>
      </c>
      <c r="B151" s="9" t="s">
        <v>143</v>
      </c>
      <c r="C151" s="16"/>
      <c r="D151" s="16"/>
      <c r="E151" s="16"/>
      <c r="F151" s="16"/>
      <c r="G151" s="16"/>
      <c r="H151" s="16"/>
      <c r="I151" s="16"/>
      <c r="J151" s="16"/>
      <c r="K151" s="15">
        <v>68416.53</v>
      </c>
    </row>
    <row r="152" spans="1:11" ht="209.25" customHeight="1">
      <c r="A152" s="8" t="s">
        <v>144</v>
      </c>
      <c r="B152" s="8" t="s">
        <v>144</v>
      </c>
      <c r="C152" s="42" t="s">
        <v>145</v>
      </c>
      <c r="D152" s="16"/>
      <c r="E152" s="16"/>
      <c r="F152" s="16"/>
      <c r="G152" s="16"/>
      <c r="H152" s="16">
        <v>2</v>
      </c>
      <c r="I152" s="16"/>
      <c r="J152" s="16">
        <v>2</v>
      </c>
      <c r="K152" s="15">
        <v>3756.76</v>
      </c>
    </row>
  </sheetData>
  <mergeCells count="10">
    <mergeCell ref="H7:I7"/>
    <mergeCell ref="J7:K7"/>
    <mergeCell ref="A3:K3"/>
    <mergeCell ref="A4:K4"/>
    <mergeCell ref="A2:K2"/>
    <mergeCell ref="D7:E7"/>
    <mergeCell ref="F7:G7"/>
    <mergeCell ref="C7:C8"/>
    <mergeCell ref="B7:B8"/>
    <mergeCell ref="A7:A8"/>
  </mergeCells>
  <dataValidations count="13">
    <dataValidation type="custom" allowBlank="1" showInputMessage="1" showErrorMessage="1" sqref="D33:D38 F84 F55:F57 F134 F114 F136 F36:F38 D49:D58 D136 D134 D118:D131 D60:D116 F33:F34 F51:F52 F78 F81 F90 F93 F96 F99 F102 F105 F124:F131">
      <formula1>IF(OR(#REF!="",ISBLANK(#REF!),#REF!="ù³Ý³Ï³Ï³Ý", #REF!="ß³Ñ³éáõÝ»ñÇ ù³Ý³ÏÁ", #REF!="³ÏïÇíÇ Í³é³ÛáõÃÛ³Ý Ï³ÝË³ï»ëíáÕ Å³ÙÏ»ïÁ", #REF!="í³ñÏ ëï³óáÕ ³ÝÓ³Ýó ù³Ý³ÏÁ",#REF!="í³ñÏ ëï³óáÕ Ï³½Ù³Ï»ñåáõÃÛáõÝÝ»ñÇ ù³Ý³ÏÁ"),ISNUMBER(D33),TRUE)</formula1>
    </dataValidation>
    <dataValidation type="custom" allowBlank="1" showInputMessage="1" showErrorMessage="1" sqref="D142:D144 F147:F148 D147:D148 D10:D30">
      <formula1>IF(OR($D10="",ISBLANK($D10),$D10="ù³Ý³Ï³Ï³Ý", $D10="ß³Ñ³éáõÝ»ñÇ ù³Ý³ÏÁ", $D10="³ÏïÇíÇ Í³é³ÛáõÃÛ³Ý Ï³ÝË³ï»ëíáÕ Å³ÙÏ»ïÁ", $D10="í³ñÏ ëï³óáÕ ³ÝÓ³Ýó ù³Ý³ÏÁ",$D10="í³ñÏ ëï³óáÕ Ï³½Ù³Ï»ñåáõÃÛáõÝÝ»ñÇ ù³Ý³ÏÁ"),ISNUMBER(D10),TRUE)</formula1>
    </dataValidation>
    <dataValidation type="decimal" allowBlank="1" showInputMessage="1" showErrorMessage="1" sqref="E47 G47 G31 G145 G147 K31 K145 K147">
      <formula1>-10000000000000000</formula1>
      <formula2>99999999999999</formula2>
    </dataValidation>
    <dataValidation type="decimal" allowBlank="1" showInputMessage="1" showErrorMessage="1" sqref="E135 E132 E146 E141 G48 G132 G146 E138 E9 G9 K9 G44 G46 G59:G117 G135 G138 G141 I9 G29:G30 K29 I31 G38:G42 I48 K48 I59 K59 E59:E117 I117 K117 I128 K128 I132 K132 I135 K135 I138 K138 I141 K141 K149:K152">
      <formula1>0</formula1>
      <formula2>9999999999</formula2>
    </dataValidation>
    <dataValidation type="list" allowBlank="1" showInputMessage="1" showErrorMessage="1" sqref="C52 C81 C84 C87 C90 C93 C96 C99 C102 C105 C108 C111 C114 C59:C76 C135:C136 C141:C143 C147 C145 C36:C50 C117:C124 C126:C127 C132:C133 C9:C34">
      <formula1>#REF!</formula1>
    </dataValidation>
    <dataValidation type="custom" allowBlank="1" showInputMessage="1" showErrorMessage="1" sqref="F142:F144 F10:F30">
      <formula1>IF(OR(#REF!="",ISBLANK(#REF!),#REF!="ù³Ý³Ï³Ï³Ý", #REF!="ß³Ñ³éáõÝ»ñÇ ù³Ý³ÏÁ", #REF!="³ÏïÇíÇ Í³é³ÛáõÃÛ³Ý Ï³ÝË³ï»ëíáÕ Å³ÙÏ»ïÁ", #REF!="í³ñÏ ëï³óáÕ ³ÝÓ³Ýó ù³Ý³ÏÁ",#REF!="í³ñÏ ëï³óáÕ Ï³½Ù³Ï»ñåáõÃÛáõÝÝ»ñÇ ù³Ý³ÏÁ"),ISNUMBER(F10),TRUE)</formula1>
    </dataValidation>
    <dataValidation type="custom" allowBlank="1" showInputMessage="1" showErrorMessage="1" sqref="F49:F50 F53:F54 F58 F60:F77 F79:F80 F82:F83 F85:F86 F88:F89 F91:F92 F94:F95 F97:F98 F100:F101 F103:F104 F106:F113 F118:F123 F133 F39:F46 H85:H86 J85:J86 H88:H89 J88:J89 H97:H98 J97:J98 H103:H104 J103:J104 F115:F116">
      <formula1>IF(OR($C39="",ISBLANK($C39),$C39="ù³Ý³Ï³Ï³Ý", $C39="ß³Ñ³éáõÝ»ñÇ ù³Ý³ÏÁ", $C39="³ÏïÇíÇ Í³é³ÛáõÃÛ³Ý Ï³ÝË³ï»ëíáÕ Å³ÙÏ»ïÁ", $C39="í³ñÏ ëï³óáÕ ³ÝÓ³Ýó ù³Ý³ÏÁ",$C39="í³ñÏ ëï³óáÕ Ï³½Ù³Ï»ñåáõÃÛáõÝÝ»ñÇ ù³Ý³ÏÁ"),ISNUMBER(F39),TRUE)</formula1>
    </dataValidation>
    <dataValidation type="custom" allowBlank="1" showInputMessage="1" showErrorMessage="1" sqref="C137:C138">
      <formula1 xml:space="preserve"> IF(OR(#REF!="",ISBLANK(#REF!),#REF!="ù³Ý³Ï³Ï³Ý", #REF!="ß³Ñ³éáõÝ»ñÇ ù³Ý³ÏÁ", #REF!="³ÏïÇíÇ Í³é³ÛáõÃÛ³Ý Ï³ÝË³ï»ëíáÕ Å³ÙÏ»ïÁ", #REF!="³ÏïÇíÇ ï³ñÇùÁ"),ISNUMBER(C137),TRUE)</formula1>
    </dataValidation>
    <dataValidation type="custom" allowBlank="1" showInputMessage="1" showErrorMessage="1" sqref="H10:H28">
      <formula1 xml:space="preserve"> IF(OR($P10="",ISBLANK($P10),$P10="ù³Ý³Ï³Ï³Ý", $P10="ß³Ñ³éáõÝ»ñÇ ù³Ý³ÏÁ", $P10="³ÏïÇíÇ Í³é³ÛáõÃÛ³Ý Ï³ÝË³ï»ëíáÕ Å³ÙÏ»ïÁ", $P10="³ÏïÇíÇ ï³ñÇùÁ"),ISNUMBER(H10),TRUE)</formula1>
    </dataValidation>
    <dataValidation type="custom" allowBlank="1" showInputMessage="1" showErrorMessage="1" sqref="J10:J18 J20:J28 J30 J142:J143">
      <formula1>IF(OR($O10="",ISBLANK($O10),$O10="ù³Ý³Ï³Ï³Ý", $O10="ß³Ñ³éáõÝ»ñÇ ù³Ý³ÏÁ", $O10="³ÏïÇíÇ Í³é³ÛáõÃÛ³Ý Ï³ÝË³ï»ëíáÕ Å³ÙÏ»ïÁ", $O10="í³ñÏ ëï³óáÕ ³ÝÓ³Ýó ù³Ý³ÏÁ",$O10="í³ñÏ ëï³óáÕ Ï³½Ù³Ï»ñåáõÃÛáõÝÝ»ñÇ ù³Ý³ÏÁ"),ISNUMBER(J10),TRUE)</formula1>
    </dataValidation>
    <dataValidation type="custom" allowBlank="1" showInputMessage="1" showErrorMessage="1" sqref="H34 J34 H49:H51 J51 H53:H55 J55 H57:H58 J57:J58 H60:H77 J60:J61 H79:H80 J79:J80 H82:H83 J82:J83 H91:H92 J91:J92 H94:H95 J94:J95 H100:H101 J100:J101 H106:H107 J106:J107 H109:H110 J109:J110 H112:H113 J112:J113 H115:H116 J115:J116 H118:H119 H123 J123 H125 J125 H133 H136 J136 H142:H143 H148">
      <formula1 xml:space="preserve"> IF(OR($K34="",ISBLANK($K34),$K34="ù³Ý³Ï³Ï³Ý", $K34="ß³Ñ³éáõÝ»ñÇ ù³Ý³ÏÁ", $K34="³ÏïÇíÇ Í³é³ÛáõÃÛ³Ý Ï³ÝË³ï»ëíáÕ Å³ÙÏ»ïÁ", $K34="³ÏïÇíÇ ï³ñÇùÁ"),ISNUMBER(H34),TRUE)</formula1>
    </dataValidation>
    <dataValidation type="custom" allowBlank="1" showInputMessage="1" showErrorMessage="1" sqref="J49:J50 J53:J54 J63:J77 J118:J119 J133">
      <formula1>IF(OR($J49="",ISBLANK($J49),$J49="ù³Ý³Ï³Ï³Ý", $J49="ß³Ñ³éáõÝ»ñÇ ù³Ý³ÏÁ", $J49="³ÏïÇíÇ Í³é³ÛáõÃÛ³Ý Ï³ÝË³ï»ëíáÕ Å³ÙÏ»ïÁ", $J49="í³ñÏ ëï³óáÕ ³ÝÓ³Ýó ù³Ý³ÏÁ",$J49="í³ñÏ ëï³óáÕ Ï³½Ù³Ï»ñåáõÃÛáõÝÝ»ñÇ ù³Ý³ÏÁ"),ISNUMBER(J49),TRUE)</formula1>
    </dataValidation>
    <dataValidation type="list" allowBlank="1" showInputMessage="1" showErrorMessage="1" sqref="C125 C128:C131">
      <formula1>#REF!</formula1>
    </dataValidation>
  </dataValidations>
  <pageMargins left="0.2" right="0.2" top="0.21" bottom="0.2" header="0.22"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election sqref="A1:IV65536"/>
    </sheetView>
  </sheetViews>
  <sheetFormatPr defaultRowHeight="13.5"/>
  <cols>
    <col min="1" max="1" width="5.140625" style="1" customWidth="1"/>
    <col min="2" max="5" width="9.140625" style="1"/>
    <col min="6" max="6" width="14" style="1" customWidth="1"/>
    <col min="7" max="7" width="9.85546875" style="1" customWidth="1"/>
    <col min="8" max="10" width="9.140625" style="1"/>
    <col min="11" max="11" width="29.7109375" style="1" customWidth="1"/>
    <col min="12" max="12" width="13.28515625" style="1" customWidth="1"/>
    <col min="13" max="13" width="23.85546875" style="1" bestFit="1" customWidth="1"/>
    <col min="14" max="14" width="16.7109375" style="1" bestFit="1" customWidth="1"/>
    <col min="15" max="15" width="9.140625" style="1"/>
    <col min="16" max="16" width="29.140625" style="1" customWidth="1"/>
    <col min="17" max="16384" width="9.140625" style="1"/>
  </cols>
  <sheetData>
    <row r="3" ht="13.5" customHeight="1"/>
    <row r="4" ht="26.25" customHeight="1"/>
    <row r="6" ht="13.5" customHeight="1"/>
    <row r="11" ht="41.25" customHeight="1"/>
    <row r="16" ht="9.75" customHeight="1"/>
    <row r="17" ht="16.5" customHeight="1"/>
    <row r="18" ht="20.25" customHeight="1"/>
    <row r="19" ht="27.75" customHeight="1"/>
    <row r="20" ht="18.75" customHeight="1"/>
    <row r="21" ht="16.5" customHeight="1"/>
    <row r="22" ht="16.5" customHeight="1"/>
    <row r="23" ht="16.5" customHeight="1"/>
  </sheetData>
  <phoneticPr fontId="3" type="noConversion"/>
  <pageMargins left="0.2" right="0.2" top="0.6" bottom="0.5" header="0.5" footer="0.3"/>
  <pageSetup firstPageNumber="1455" orientation="landscape" useFirstPageNumber="1" horizontalDpi="1200" verticalDpi="1200" r:id="rId1"/>
  <headerFooter alignWithMargins="0">
    <oddFooter>&amp;L&amp;"GHEA Grapalat,Regular"&amp;8Հայաստանի Հանրապետության ֆինանսների նախարարություն&amp;R&amp;"GHEA Grapalat,Regular"&amp;8&amp;F &amp;P էջ</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Room129 User</cp:lastModifiedBy>
  <cp:lastPrinted>2019-05-07T11:33:27Z</cp:lastPrinted>
  <dcterms:created xsi:type="dcterms:W3CDTF">1996-10-14T23:33:28Z</dcterms:created>
  <dcterms:modified xsi:type="dcterms:W3CDTF">2019-05-14T06:43:23Z</dcterms:modified>
</cp:coreProperties>
</file>