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895" windowHeight="8205" activeTab="1"/>
  </bookViews>
  <sheets>
    <sheet name="ampop" sheetId="3" r:id="rId1"/>
    <sheet name="Sheet2" sheetId="5" r:id="rId2"/>
  </sheets>
  <calcPr calcId="162913"/>
</workbook>
</file>

<file path=xl/calcChain.xml><?xml version="1.0" encoding="utf-8"?>
<calcChain xmlns="http://schemas.openxmlformats.org/spreadsheetml/2006/main">
  <c r="N37" i="5" l="1"/>
  <c r="J37" i="5"/>
  <c r="J38" i="5" s="1"/>
  <c r="J39" i="5" s="1"/>
  <c r="J40" i="5" s="1"/>
  <c r="J41" i="5" s="1"/>
  <c r="J42" i="5" s="1"/>
  <c r="J43" i="5" s="1"/>
  <c r="J44" i="5" s="1"/>
  <c r="I5" i="5"/>
  <c r="C35" i="5"/>
  <c r="K45" i="5" s="1"/>
  <c r="E37" i="5"/>
  <c r="E38" i="5" s="1"/>
  <c r="E39" i="5" s="1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J8" i="5"/>
  <c r="J9" i="5"/>
  <c r="K9" i="5" s="1"/>
  <c r="J10" i="5"/>
  <c r="J11" i="5"/>
  <c r="J12" i="5"/>
  <c r="J13" i="5"/>
  <c r="J14" i="5"/>
  <c r="J7" i="5"/>
  <c r="K7" i="5" s="1"/>
  <c r="C4" i="5"/>
  <c r="F15" i="5" s="1"/>
  <c r="G15" i="5" s="1"/>
  <c r="E6" i="5"/>
  <c r="E7" i="5" s="1"/>
  <c r="E8" i="5" s="1"/>
  <c r="E9" i="5" s="1"/>
  <c r="E10" i="5" s="1"/>
  <c r="E11" i="5" s="1"/>
  <c r="E12" i="5" s="1"/>
  <c r="E13" i="5" s="1"/>
  <c r="E14" i="5" s="1"/>
  <c r="L20" i="5"/>
  <c r="M7" i="5"/>
  <c r="N7" i="5" s="1"/>
  <c r="O6" i="5" s="1"/>
  <c r="K18" i="5"/>
  <c r="L18" i="5" s="1"/>
  <c r="I16" i="5"/>
  <c r="I17" i="5" s="1"/>
  <c r="I18" i="5" s="1"/>
  <c r="K15" i="5"/>
  <c r="K16" i="5"/>
  <c r="K17" i="5"/>
  <c r="K6" i="5"/>
  <c r="K37" i="5" l="1"/>
  <c r="K44" i="5"/>
  <c r="K48" i="5"/>
  <c r="O37" i="5"/>
  <c r="K40" i="5"/>
  <c r="K46" i="5"/>
  <c r="L16" i="5"/>
  <c r="K47" i="5"/>
  <c r="K41" i="5"/>
  <c r="K42" i="5"/>
  <c r="K49" i="5"/>
  <c r="K43" i="5"/>
  <c r="K50" i="5"/>
  <c r="K38" i="5"/>
  <c r="K51" i="5"/>
  <c r="K39" i="5"/>
  <c r="N38" i="5"/>
  <c r="O38" i="5" s="1"/>
  <c r="O20" i="5"/>
  <c r="L6" i="5"/>
  <c r="F37" i="5"/>
  <c r="P37" i="5" s="1"/>
  <c r="F38" i="5"/>
  <c r="F52" i="5"/>
  <c r="F39" i="5"/>
  <c r="E40" i="5"/>
  <c r="F21" i="5"/>
  <c r="G21" i="5" s="1"/>
  <c r="F11" i="5"/>
  <c r="F14" i="5"/>
  <c r="G14" i="5" s="1"/>
  <c r="H14" i="5" s="1"/>
  <c r="F6" i="5"/>
  <c r="G6" i="5" s="1"/>
  <c r="F16" i="5"/>
  <c r="G16" i="5" s="1"/>
  <c r="F13" i="5"/>
  <c r="F17" i="5"/>
  <c r="G17" i="5" s="1"/>
  <c r="F12" i="5"/>
  <c r="F10" i="5"/>
  <c r="F18" i="5"/>
  <c r="G18" i="5" s="1"/>
  <c r="F9" i="5"/>
  <c r="G9" i="5" s="1"/>
  <c r="F19" i="5"/>
  <c r="G19" i="5" s="1"/>
  <c r="F8" i="5"/>
  <c r="G8" i="5" s="1"/>
  <c r="F20" i="5"/>
  <c r="G20" i="5" s="1"/>
  <c r="F7" i="5"/>
  <c r="O8" i="5"/>
  <c r="C24" i="5" s="1"/>
  <c r="K8" i="5"/>
  <c r="L8" i="5" s="1"/>
  <c r="B33" i="3"/>
  <c r="G29" i="3"/>
  <c r="J29" i="3" s="1"/>
  <c r="J25" i="3"/>
  <c r="I25" i="3"/>
  <c r="H25" i="3"/>
  <c r="G25" i="3"/>
  <c r="E25" i="3"/>
  <c r="D25" i="3"/>
  <c r="C25" i="3"/>
  <c r="C33" i="3" s="1"/>
  <c r="B25" i="3"/>
  <c r="B26" i="3" s="1"/>
  <c r="P38" i="5" l="1"/>
  <c r="Q37" i="5" s="1"/>
  <c r="N39" i="5"/>
  <c r="O39" i="5" s="1"/>
  <c r="G37" i="5"/>
  <c r="E41" i="5"/>
  <c r="F40" i="5"/>
  <c r="H16" i="5"/>
  <c r="H20" i="5"/>
  <c r="P20" i="5" s="1"/>
  <c r="G7" i="5"/>
  <c r="H6" i="5" s="1"/>
  <c r="P6" i="5" s="1"/>
  <c r="H18" i="5"/>
  <c r="O10" i="5"/>
  <c r="C26" i="5" s="1"/>
  <c r="H8" i="5"/>
  <c r="K11" i="5"/>
  <c r="K10" i="5"/>
  <c r="G10" i="5"/>
  <c r="C26" i="3"/>
  <c r="D33" i="3"/>
  <c r="D26" i="3" s="1"/>
  <c r="G27" i="3"/>
  <c r="I27" i="3"/>
  <c r="I33" i="3" s="1"/>
  <c r="G30" i="3"/>
  <c r="J30" i="3" s="1"/>
  <c r="K29" i="3" s="1"/>
  <c r="G28" i="3"/>
  <c r="J28" i="3" s="1"/>
  <c r="H27" i="3"/>
  <c r="H33" i="3" s="1"/>
  <c r="E33" i="3"/>
  <c r="P39" i="5" l="1"/>
  <c r="P8" i="5"/>
  <c r="B24" i="5"/>
  <c r="E24" i="5" s="1"/>
  <c r="P51" i="5"/>
  <c r="Q51" i="5" s="1"/>
  <c r="N40" i="5"/>
  <c r="O40" i="5" s="1"/>
  <c r="P40" i="5" s="1"/>
  <c r="G39" i="5"/>
  <c r="B55" i="5" s="1"/>
  <c r="B67" i="5" s="1"/>
  <c r="E42" i="5"/>
  <c r="F41" i="5"/>
  <c r="G33" i="3"/>
  <c r="J33" i="3" s="1"/>
  <c r="L10" i="5"/>
  <c r="K12" i="5"/>
  <c r="G11" i="5"/>
  <c r="H10" i="5" s="1"/>
  <c r="B26" i="5" s="1"/>
  <c r="E26" i="5" s="1"/>
  <c r="J27" i="3"/>
  <c r="K27" i="3" s="1"/>
  <c r="D8" i="3"/>
  <c r="C8" i="3"/>
  <c r="H8" i="3" s="1"/>
  <c r="G10" i="3"/>
  <c r="J10" i="3" s="1"/>
  <c r="E6" i="3"/>
  <c r="C6" i="3"/>
  <c r="D6" i="3"/>
  <c r="G6" i="3"/>
  <c r="H6" i="3"/>
  <c r="I6" i="3"/>
  <c r="J6" i="3"/>
  <c r="B6" i="3"/>
  <c r="C55" i="5" l="1"/>
  <c r="N41" i="5"/>
  <c r="O41" i="5" s="1"/>
  <c r="Q39" i="5"/>
  <c r="P10" i="5"/>
  <c r="E43" i="5"/>
  <c r="F42" i="5"/>
  <c r="O12" i="5"/>
  <c r="C28" i="5" s="1"/>
  <c r="K13" i="5"/>
  <c r="L12" i="5" s="1"/>
  <c r="G12" i="5"/>
  <c r="B8" i="3"/>
  <c r="G8" i="3" s="1"/>
  <c r="B7" i="3"/>
  <c r="C14" i="3"/>
  <c r="C7" i="3" s="1"/>
  <c r="H14" i="3"/>
  <c r="D14" i="3"/>
  <c r="D7" i="3" s="1"/>
  <c r="I8" i="3"/>
  <c r="I14" i="3" s="1"/>
  <c r="G11" i="3"/>
  <c r="J11" i="3" s="1"/>
  <c r="K10" i="3" s="1"/>
  <c r="G9" i="3"/>
  <c r="J9" i="3" s="1"/>
  <c r="B14" i="3" l="1"/>
  <c r="E55" i="5"/>
  <c r="C67" i="5"/>
  <c r="E67" i="5" s="1"/>
  <c r="P41" i="5"/>
  <c r="N42" i="5"/>
  <c r="O42" i="5" s="1"/>
  <c r="P42" i="5" s="1"/>
  <c r="G41" i="5"/>
  <c r="B57" i="5" s="1"/>
  <c r="B69" i="5" s="1"/>
  <c r="F43" i="5"/>
  <c r="E44" i="5"/>
  <c r="K14" i="5"/>
  <c r="L14" i="5" s="1"/>
  <c r="G13" i="5"/>
  <c r="H12" i="5" s="1"/>
  <c r="B28" i="5" s="1"/>
  <c r="E28" i="5" s="1"/>
  <c r="E14" i="3"/>
  <c r="J8" i="3"/>
  <c r="K8" i="3" s="1"/>
  <c r="G14" i="3"/>
  <c r="J14" i="3" s="1"/>
  <c r="C57" i="5" l="1"/>
  <c r="N43" i="5"/>
  <c r="O43" i="5" s="1"/>
  <c r="Q41" i="5"/>
  <c r="P12" i="5"/>
  <c r="F44" i="5"/>
  <c r="E45" i="5"/>
  <c r="O14" i="5"/>
  <c r="P14" i="5" s="1"/>
  <c r="E57" i="5" l="1"/>
  <c r="C69" i="5"/>
  <c r="E69" i="5" s="1"/>
  <c r="P43" i="5"/>
  <c r="N44" i="5"/>
  <c r="G43" i="5"/>
  <c r="B59" i="5" s="1"/>
  <c r="B71" i="5" s="1"/>
  <c r="F45" i="5"/>
  <c r="E46" i="5"/>
  <c r="O18" i="5"/>
  <c r="P18" i="5" s="1"/>
  <c r="O16" i="5"/>
  <c r="P16" i="5" s="1"/>
  <c r="O44" i="5" l="1"/>
  <c r="N45" i="5"/>
  <c r="E47" i="5"/>
  <c r="F46" i="5"/>
  <c r="P44" i="5" l="1"/>
  <c r="Q43" i="5" s="1"/>
  <c r="C59" i="5"/>
  <c r="N46" i="5"/>
  <c r="O45" i="5"/>
  <c r="P45" i="5" s="1"/>
  <c r="G45" i="5"/>
  <c r="E48" i="5"/>
  <c r="F47" i="5"/>
  <c r="E59" i="5" l="1"/>
  <c r="C71" i="5"/>
  <c r="E71" i="5" s="1"/>
  <c r="O46" i="5"/>
  <c r="P46" i="5" s="1"/>
  <c r="Q45" i="5" s="1"/>
  <c r="N47" i="5"/>
  <c r="E49" i="5"/>
  <c r="F48" i="5"/>
  <c r="N48" i="5" l="1"/>
  <c r="O47" i="5"/>
  <c r="P47" i="5" s="1"/>
  <c r="G47" i="5"/>
  <c r="E50" i="5"/>
  <c r="F49" i="5"/>
  <c r="O48" i="5" l="1"/>
  <c r="P48" i="5" s="1"/>
  <c r="Q47" i="5" s="1"/>
  <c r="N49" i="5"/>
  <c r="E51" i="5"/>
  <c r="F51" i="5" s="1"/>
  <c r="F50" i="5"/>
  <c r="N50" i="5" l="1"/>
  <c r="O49" i="5"/>
  <c r="P49" i="5" s="1"/>
  <c r="G51" i="5"/>
  <c r="G49" i="5"/>
  <c r="O50" i="5" l="1"/>
  <c r="P50" i="5" s="1"/>
  <c r="Q49" i="5" s="1"/>
  <c r="N51" i="5"/>
  <c r="N52" i="5" s="1"/>
</calcChain>
</file>

<file path=xl/sharedStrings.xml><?xml version="1.0" encoding="utf-8"?>
<sst xmlns="http://schemas.openxmlformats.org/spreadsheetml/2006/main" count="111" uniqueCount="57">
  <si>
    <t>Ուսանող</t>
  </si>
  <si>
    <t>Զավակ</t>
  </si>
  <si>
    <t>Ամուսին</t>
  </si>
  <si>
    <t>Ընդամենը</t>
  </si>
  <si>
    <t>Ուսանողի ուս վարձ</t>
  </si>
  <si>
    <t>Զավակի ուս վարձ</t>
  </si>
  <si>
    <t>Կնոջ ուս վարձ</t>
  </si>
  <si>
    <r>
      <t>Բուհը</t>
    </r>
    <r>
      <rPr>
        <sz val="12"/>
        <color rgb="FF000000"/>
        <rFont val="GHEA Grapalat"/>
        <family val="3"/>
      </rPr>
      <t> </t>
    </r>
  </si>
  <si>
    <t>1-ին փուլ</t>
  </si>
  <si>
    <t>2-րդ փուլ</t>
  </si>
  <si>
    <t>average</t>
  </si>
  <si>
    <t>կանխատեսում ևս՝ 2021 1-ին կես</t>
  </si>
  <si>
    <t>կանխատեսում ևս՝ 2021 2-րդ կես</t>
  </si>
  <si>
    <t>կանխատեսում ևս՝ 2022 1-ին կես</t>
  </si>
  <si>
    <t>կանխատեսում ևս՝ 2022 2-րդ կես</t>
  </si>
  <si>
    <t>կազմակերպ անվանումը</t>
  </si>
  <si>
    <t>գումարը հազ. դրամ</t>
  </si>
  <si>
    <t xml:space="preserve">ուսանողի թիվ </t>
  </si>
  <si>
    <t xml:space="preserve"> ուսանող</t>
  </si>
  <si>
    <t>զավակ</t>
  </si>
  <si>
    <t>ամուսին</t>
  </si>
  <si>
    <t>ընդ</t>
  </si>
  <si>
    <t xml:space="preserve">ուսանող </t>
  </si>
  <si>
    <t>2020-2021 II կիսամյակ</t>
  </si>
  <si>
    <t>2021-2022 I կիսամյակ</t>
  </si>
  <si>
    <t>2021-2022 II կիսամյակ</t>
  </si>
  <si>
    <t>2022-2023 I կիսամյակ</t>
  </si>
  <si>
    <t>2022-2023 II կիսամյակ</t>
  </si>
  <si>
    <t>2023-2024 I կիսամյակ</t>
  </si>
  <si>
    <t>2023-2024 II կիսամյակ</t>
  </si>
  <si>
    <t>2024-2025 I կիսամյակ</t>
  </si>
  <si>
    <t>2024-2025 II կիսամյակ</t>
  </si>
  <si>
    <t>2025-2026 I կիսամյակ</t>
  </si>
  <si>
    <t>2025-2026 II կիսամյակ</t>
  </si>
  <si>
    <t>2026-2027 I կիսամյակ</t>
  </si>
  <si>
    <t>2026-2027 II կիսամյակ</t>
  </si>
  <si>
    <t>2027-2028 I կիսամյակ</t>
  </si>
  <si>
    <t>2027-2028 II կիսամյակ</t>
  </si>
  <si>
    <t>44 օրյա պատերազմ</t>
  </si>
  <si>
    <t>Բակալավր</t>
  </si>
  <si>
    <t xml:space="preserve"> 40%-ը</t>
  </si>
  <si>
    <t>50%-ը</t>
  </si>
  <si>
    <t>4 օրյա պատերազմ</t>
  </si>
  <si>
    <t>20%-ը</t>
  </si>
  <si>
    <t>2 և ավելի երեխա</t>
  </si>
  <si>
    <t>100%-ը</t>
  </si>
  <si>
    <t>TOTAL</t>
  </si>
  <si>
    <t>արդեն իսկ ամփոփված է (ՀՀ կառավարության 2021 թվականի փետրվարի 5-ի թիվ 143-Ն որոշմամբ և շրջանառվող նախածով) 3954 անձանց տվյալներ (2226 ուսանող, թվով 1368 -ի զավակ, թվով 360 -ի ամուսին), որոնց փոխհատուցման ենթակա գումարը կազմում է 869 մլն․ դրամ։ Բացի այդ, ըստ կանխատեսումների 2021-ին նախատեսվում է նաև 1046 անձանց (674 ուսանող, թվով 282 զավակ, թվով 90 -ի ամուսին) փոխհատուցել 230 մլն․ դրամ, իսկ 2021-ի 2-րդ, 2022-ի 1-ին և 2-րդ կիսամյակներում՝ յուրաքանչյուրում մոտ 1700 ուսանողի, յուրաքանչյուրում մոտ 374 մլն․ դրամ։ Արդյունքում՝ 2021-2022 թվականների ընթացում 2020 թվականի դեկտեմբերի 10-ի թիվ 2008-Ն որոշման շրջանակներում փոխհատուցում կստանա մոտ 10100 ուսանող՝ ընդհամենը 2.221.15 մլն․ դրամ գումարով (1 ուսանողի հաշվով՝ 1 կիսամյակի վարձը միջինում կազմում է 220 հազ․ դրամ)։</t>
  </si>
  <si>
    <t>արդեն իսկ ամփոփված է (ՀՀ կառավարության 2021 թվականի փետրվարի 5-ի թիվ 143-Ն որոշմամբ և շրջանառվող նախածով) 259 անձանց տվյալներ (68 ուսանող, թվով 61 -ի զավակ, թվով 18 -ի ամուսին), որոնց փոխհատուցման ենթակա գումարը կազմում է 26.9 մլն․ դրամ։ Բացի այդ, ըստ կանխատեսումների 2021-ին նախատեսվում է նաև 111 անձանց (32 ուսանող, թվով 61 զավակ, թվով 18 -ի ամուսին) փոխհատուցել 11.3 մլն․ դրամ, իսկ 2021-ի 2-րդ, 2022-ի 1-ին և 2-րդ կիսամյակներում՝ յուրաքանչյուրում մոտ 80 ուսանողի, յուրաքանչյուրում մոտ 8.16 մլն․ դրամ։ Արդյունքում՝ 2021-2022 թվականների ընթացում 2020 թվականի դեկտեմբերի 10-ի թիվ 2008-Ն որոշման շրջանակներում փոխհատուցում կստանա մոտ 610 ուսանող՝ ընդհամենը 62,13 մլն․ դրամ գումարով (1 ուսանողի հաշվով՝ 1 կիսամյակի վարձը միջինում կազմում է 102 հազ․ դրամ)։</t>
  </si>
  <si>
    <t>մուտք</t>
  </si>
  <si>
    <t>ելք</t>
  </si>
  <si>
    <t>մնացորդ</t>
  </si>
  <si>
    <t>պատերազմ</t>
  </si>
  <si>
    <t>2 և ավելի</t>
  </si>
  <si>
    <t>բակալավրիատ</t>
  </si>
  <si>
    <t>Մագիստրատուրա</t>
  </si>
  <si>
    <t>Բակալավրիատ + Մագիստրատուրա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</si>
</sst>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sz val="12"/>
      <color rgb="FF000000"/>
      <name val="GHEA Grapalat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right"/>
    </xf>
    <xf numFmtId="0" fontId="1" fillId="0" borderId="0" xfId="0" applyFont="1"/>
    <xf numFmtId="165" fontId="1" fillId="0" borderId="0" xfId="0" applyNumberFormat="1" applyFont="1"/>
    <xf numFmtId="0" fontId="1" fillId="0" borderId="1" xfId="0" applyFont="1" applyBorder="1"/>
    <xf numFmtId="165" fontId="1" fillId="0" borderId="1" xfId="0" applyNumberFormat="1" applyFont="1" applyBorder="1"/>
    <xf numFmtId="0" fontId="2" fillId="0" borderId="1" xfId="0" applyFont="1" applyBorder="1"/>
    <xf numFmtId="165" fontId="2" fillId="0" borderId="1" xfId="0" applyNumberFormat="1" applyFont="1" applyBorder="1" applyAlignment="1">
      <alignment horizontal="right"/>
    </xf>
    <xf numFmtId="0" fontId="4" fillId="0" borderId="1" xfId="0" applyFont="1" applyBorder="1"/>
    <xf numFmtId="165" fontId="4" fillId="0" borderId="1" xfId="0" applyNumberFormat="1" applyFont="1" applyBorder="1"/>
    <xf numFmtId="1" fontId="4" fillId="0" borderId="1" xfId="0" applyNumberFormat="1" applyFont="1" applyBorder="1"/>
    <xf numFmtId="1" fontId="1" fillId="0" borderId="1" xfId="0" applyNumberFormat="1" applyFont="1" applyBorder="1"/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/>
    <xf numFmtId="0" fontId="5" fillId="0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/>
    <xf numFmtId="165" fontId="0" fillId="0" borderId="0" xfId="0" applyNumberFormat="1"/>
    <xf numFmtId="165" fontId="3" fillId="0" borderId="0" xfId="0" applyNumberFormat="1" applyFont="1"/>
    <xf numFmtId="165" fontId="0" fillId="0" borderId="1" xfId="0" applyNumberFormat="1" applyBorder="1" applyAlignment="1">
      <alignment horizontal="center"/>
    </xf>
    <xf numFmtId="165" fontId="0" fillId="0" borderId="1" xfId="0" applyNumberFormat="1" applyBorder="1" applyAlignment="1"/>
    <xf numFmtId="165" fontId="3" fillId="0" borderId="1" xfId="0" applyNumberFormat="1" applyFont="1" applyBorder="1" applyAlignment="1">
      <alignment horizontal="center"/>
    </xf>
    <xf numFmtId="165" fontId="6" fillId="0" borderId="1" xfId="0" applyNumberFormat="1" applyFont="1" applyBorder="1"/>
    <xf numFmtId="165" fontId="7" fillId="0" borderId="1" xfId="0" applyNumberFormat="1" applyFont="1" applyBorder="1"/>
    <xf numFmtId="0" fontId="6" fillId="0" borderId="1" xfId="0" applyFont="1" applyBorder="1"/>
    <xf numFmtId="0" fontId="7" fillId="0" borderId="1" xfId="0" applyFont="1" applyBorder="1"/>
    <xf numFmtId="0" fontId="0" fillId="2" borderId="1" xfId="0" applyFill="1" applyBorder="1"/>
    <xf numFmtId="0" fontId="0" fillId="2" borderId="0" xfId="0" applyFill="1"/>
    <xf numFmtId="165" fontId="7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/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165" fontId="7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6"/>
  <sheetViews>
    <sheetView zoomScaleNormal="100" workbookViewId="0">
      <selection activeCell="B27" activeCellId="1" sqref="B25 B27"/>
    </sheetView>
  </sheetViews>
  <sheetFormatPr defaultRowHeight="17.25" x14ac:dyDescent="0.3"/>
  <cols>
    <col min="1" max="1" width="37" style="3" customWidth="1"/>
    <col min="2" max="2" width="10.7109375" style="3" bestFit="1" customWidth="1"/>
    <col min="3" max="3" width="9.5703125" style="3" bestFit="1" customWidth="1"/>
    <col min="4" max="4" width="10.140625" style="3" bestFit="1" customWidth="1"/>
    <col min="5" max="5" width="8.7109375" style="3" customWidth="1"/>
    <col min="6" max="6" width="4.140625" style="3" customWidth="1"/>
    <col min="7" max="7" width="14.7109375" style="4" customWidth="1"/>
    <col min="8" max="9" width="13.28515625" style="4" customWidth="1"/>
    <col min="10" max="10" width="16.140625" style="4" customWidth="1"/>
    <col min="11" max="11" width="15.140625" style="3" customWidth="1"/>
    <col min="12" max="16384" width="9.140625" style="3"/>
  </cols>
  <sheetData>
    <row r="3" spans="1:11" x14ac:dyDescent="0.3">
      <c r="A3" s="5" t="s">
        <v>7</v>
      </c>
      <c r="B3" s="5" t="s">
        <v>0</v>
      </c>
      <c r="C3" s="5" t="s">
        <v>1</v>
      </c>
      <c r="D3" s="5" t="s">
        <v>2</v>
      </c>
      <c r="E3" s="5" t="s">
        <v>3</v>
      </c>
      <c r="F3" s="5"/>
      <c r="G3" s="6" t="s">
        <v>4</v>
      </c>
      <c r="H3" s="6" t="s">
        <v>5</v>
      </c>
      <c r="I3" s="6" t="s">
        <v>6</v>
      </c>
      <c r="J3" s="6" t="s">
        <v>3</v>
      </c>
    </row>
    <row r="4" spans="1:11" x14ac:dyDescent="0.3">
      <c r="A4" s="7" t="s">
        <v>8</v>
      </c>
      <c r="B4" s="2">
        <v>650</v>
      </c>
      <c r="C4" s="2">
        <v>510</v>
      </c>
      <c r="D4" s="2">
        <v>143</v>
      </c>
      <c r="E4" s="2">
        <v>1303</v>
      </c>
      <c r="F4" s="2"/>
      <c r="G4" s="8">
        <v>135961</v>
      </c>
      <c r="H4" s="8">
        <v>134242.6</v>
      </c>
      <c r="I4" s="8">
        <v>28147.8</v>
      </c>
      <c r="J4" s="8">
        <v>298351.40000000002</v>
      </c>
    </row>
    <row r="5" spans="1:11" x14ac:dyDescent="0.3">
      <c r="A5" s="5" t="s">
        <v>9</v>
      </c>
      <c r="B5" s="5">
        <v>1576</v>
      </c>
      <c r="C5" s="5">
        <v>858</v>
      </c>
      <c r="D5" s="5">
        <v>217</v>
      </c>
      <c r="E5" s="5">
        <v>2651</v>
      </c>
      <c r="F5" s="5"/>
      <c r="G5" s="6">
        <v>311440.72500000003</v>
      </c>
      <c r="H5" s="6">
        <v>222780.94999999998</v>
      </c>
      <c r="I5" s="6">
        <v>36499.1</v>
      </c>
      <c r="J5" s="6">
        <v>570720.77500000002</v>
      </c>
    </row>
    <row r="6" spans="1:11" x14ac:dyDescent="0.3">
      <c r="A6" s="9" t="s">
        <v>3</v>
      </c>
      <c r="B6" s="9">
        <f>+B4+B5</f>
        <v>2226</v>
      </c>
      <c r="C6" s="9">
        <f t="shared" ref="C6:J6" si="0">+C4+C5</f>
        <v>1368</v>
      </c>
      <c r="D6" s="9">
        <f t="shared" si="0"/>
        <v>360</v>
      </c>
      <c r="E6" s="9">
        <f>+E4+E5</f>
        <v>3954</v>
      </c>
      <c r="F6" s="9"/>
      <c r="G6" s="10">
        <f t="shared" si="0"/>
        <v>447401.72500000003</v>
      </c>
      <c r="H6" s="10">
        <f t="shared" si="0"/>
        <v>357023.55</v>
      </c>
      <c r="I6" s="10">
        <f t="shared" si="0"/>
        <v>64646.899999999994</v>
      </c>
      <c r="J6" s="10">
        <f t="shared" si="0"/>
        <v>869072.17500000005</v>
      </c>
      <c r="K6" s="15">
        <v>220</v>
      </c>
    </row>
    <row r="7" spans="1:11" x14ac:dyDescent="0.3">
      <c r="A7" s="3" t="s">
        <v>10</v>
      </c>
      <c r="B7" s="13">
        <f>+B6/B9*100</f>
        <v>130.94117647058823</v>
      </c>
      <c r="C7" s="13">
        <f>+C6/C14*100</f>
        <v>82.909090909090907</v>
      </c>
      <c r="D7" s="13">
        <f>+D6/D14*100</f>
        <v>80</v>
      </c>
      <c r="K7" s="14"/>
    </row>
    <row r="8" spans="1:11" x14ac:dyDescent="0.3">
      <c r="A8" s="5" t="s">
        <v>11</v>
      </c>
      <c r="B8" s="11">
        <f>+B6*0.3+6</f>
        <v>673.8</v>
      </c>
      <c r="C8" s="12">
        <f>274+8</f>
        <v>282</v>
      </c>
      <c r="D8" s="12">
        <f>72+18</f>
        <v>90</v>
      </c>
      <c r="E8" s="5"/>
      <c r="F8" s="5"/>
      <c r="G8" s="6">
        <f>+B8*K6</f>
        <v>148236</v>
      </c>
      <c r="H8" s="6">
        <f>+C8*K6</f>
        <v>62040</v>
      </c>
      <c r="I8" s="6">
        <f>+K6*D8</f>
        <v>19800</v>
      </c>
      <c r="J8" s="10">
        <f>+G8+H8+I8</f>
        <v>230076</v>
      </c>
      <c r="K8" s="39">
        <f>+J8+J9</f>
        <v>604076</v>
      </c>
    </row>
    <row r="9" spans="1:11" x14ac:dyDescent="0.3">
      <c r="A9" s="5" t="s">
        <v>12</v>
      </c>
      <c r="B9" s="11">
        <v>1700</v>
      </c>
      <c r="C9" s="12"/>
      <c r="D9" s="12"/>
      <c r="E9" s="5"/>
      <c r="F9" s="5"/>
      <c r="G9" s="6">
        <f>+B9*K6</f>
        <v>374000</v>
      </c>
      <c r="H9" s="6"/>
      <c r="I9" s="6"/>
      <c r="J9" s="10">
        <f>+G9+H9+I9</f>
        <v>374000</v>
      </c>
      <c r="K9" s="40"/>
    </row>
    <row r="10" spans="1:11" x14ac:dyDescent="0.3">
      <c r="A10" s="5" t="s">
        <v>13</v>
      </c>
      <c r="B10" s="11">
        <v>1700</v>
      </c>
      <c r="C10" s="12"/>
      <c r="D10" s="12"/>
      <c r="E10" s="5"/>
      <c r="F10" s="5"/>
      <c r="G10" s="6">
        <f>+B10*K6</f>
        <v>374000</v>
      </c>
      <c r="H10" s="6"/>
      <c r="I10" s="6"/>
      <c r="J10" s="10">
        <f t="shared" ref="J10:J11" si="1">+G10+H10+I10</f>
        <v>374000</v>
      </c>
      <c r="K10" s="39">
        <f>+J10+J11</f>
        <v>748000</v>
      </c>
    </row>
    <row r="11" spans="1:11" x14ac:dyDescent="0.3">
      <c r="A11" s="5" t="s">
        <v>14</v>
      </c>
      <c r="B11" s="11">
        <v>1700</v>
      </c>
      <c r="C11" s="12"/>
      <c r="D11" s="12"/>
      <c r="E11" s="5"/>
      <c r="F11" s="5"/>
      <c r="G11" s="6">
        <f>+B11*K6</f>
        <v>374000</v>
      </c>
      <c r="H11" s="6"/>
      <c r="I11" s="6"/>
      <c r="J11" s="10">
        <f t="shared" si="1"/>
        <v>374000</v>
      </c>
      <c r="K11" s="40"/>
    </row>
    <row r="14" spans="1:11" x14ac:dyDescent="0.3">
      <c r="A14" s="9" t="s">
        <v>3</v>
      </c>
      <c r="B14" s="13">
        <f>+B6+B8+B9+B10+B11</f>
        <v>7999.8</v>
      </c>
      <c r="C14" s="13">
        <f t="shared" ref="C14:D14" si="2">+C6+C8+C9+C10+C11</f>
        <v>1650</v>
      </c>
      <c r="D14" s="13">
        <f t="shared" si="2"/>
        <v>450</v>
      </c>
      <c r="E14" s="13">
        <f>+B14+C14+D14</f>
        <v>10099.799999999999</v>
      </c>
      <c r="G14" s="10">
        <f>+G6+G8+G9+G10+G11</f>
        <v>1717637.7250000001</v>
      </c>
      <c r="H14" s="10">
        <f t="shared" ref="H14:I14" si="3">+H6+H8+H9+H10+H11</f>
        <v>419063.55</v>
      </c>
      <c r="I14" s="10">
        <f t="shared" si="3"/>
        <v>84446.9</v>
      </c>
      <c r="J14" s="10">
        <f>+G14+H14+I14</f>
        <v>2221148.1749999998</v>
      </c>
    </row>
    <row r="16" spans="1:11" ht="127.5" customHeight="1" x14ac:dyDescent="0.3">
      <c r="A16" s="41" t="s">
        <v>47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</row>
    <row r="21" spans="1:11" x14ac:dyDescent="0.3">
      <c r="A21" s="42" t="s">
        <v>15</v>
      </c>
      <c r="B21" s="18"/>
      <c r="C21" s="18" t="s">
        <v>17</v>
      </c>
      <c r="D21" s="18"/>
      <c r="E21" s="18"/>
      <c r="F21" s="6"/>
      <c r="G21" s="43" t="s">
        <v>16</v>
      </c>
      <c r="H21" s="43"/>
      <c r="I21" s="43"/>
      <c r="J21" s="43"/>
    </row>
    <row r="22" spans="1:11" x14ac:dyDescent="0.3">
      <c r="A22" s="42"/>
      <c r="B22" s="19" t="s">
        <v>22</v>
      </c>
      <c r="C22" s="19" t="s">
        <v>19</v>
      </c>
      <c r="D22" s="19" t="s">
        <v>20</v>
      </c>
      <c r="E22" s="19" t="s">
        <v>21</v>
      </c>
      <c r="F22" s="20"/>
      <c r="G22" s="21" t="s">
        <v>18</v>
      </c>
      <c r="H22" s="21" t="s">
        <v>19</v>
      </c>
      <c r="I22" s="21" t="s">
        <v>20</v>
      </c>
      <c r="J22" s="21" t="s">
        <v>21</v>
      </c>
    </row>
    <row r="23" spans="1:11" x14ac:dyDescent="0.3">
      <c r="A23" s="7" t="s">
        <v>8</v>
      </c>
      <c r="B23" s="16">
        <v>12</v>
      </c>
      <c r="C23" s="16">
        <v>47</v>
      </c>
      <c r="D23" s="16">
        <v>11</v>
      </c>
      <c r="E23" s="16">
        <v>70</v>
      </c>
      <c r="F23" s="6"/>
      <c r="G23" s="17">
        <v>1010</v>
      </c>
      <c r="H23" s="17">
        <v>4678.5</v>
      </c>
      <c r="I23" s="17">
        <v>920</v>
      </c>
      <c r="J23" s="17">
        <v>6608.5</v>
      </c>
    </row>
    <row r="24" spans="1:11" x14ac:dyDescent="0.3">
      <c r="A24" s="5" t="s">
        <v>9</v>
      </c>
      <c r="B24" s="5">
        <v>56</v>
      </c>
      <c r="C24" s="6">
        <v>112</v>
      </c>
      <c r="D24" s="6">
        <v>21</v>
      </c>
      <c r="E24" s="6">
        <v>189</v>
      </c>
      <c r="F24" s="6"/>
      <c r="G24" s="5">
        <v>5395.5</v>
      </c>
      <c r="H24" s="5">
        <v>12416.75</v>
      </c>
      <c r="I24" s="5">
        <v>1907.5</v>
      </c>
      <c r="J24" s="5">
        <v>19719.75</v>
      </c>
    </row>
    <row r="25" spans="1:11" x14ac:dyDescent="0.3">
      <c r="A25" s="9" t="s">
        <v>3</v>
      </c>
      <c r="B25" s="9">
        <f>+B23+B24</f>
        <v>68</v>
      </c>
      <c r="C25" s="9">
        <f t="shared" ref="C25:D25" si="4">+C23+C24</f>
        <v>159</v>
      </c>
      <c r="D25" s="9">
        <f t="shared" si="4"/>
        <v>32</v>
      </c>
      <c r="E25" s="9">
        <f>+E23+E24</f>
        <v>259</v>
      </c>
      <c r="F25" s="9"/>
      <c r="G25" s="10">
        <f t="shared" ref="G25:J25" si="5">+G23+G24</f>
        <v>6405.5</v>
      </c>
      <c r="H25" s="10">
        <f t="shared" si="5"/>
        <v>17095.25</v>
      </c>
      <c r="I25" s="10">
        <f t="shared" si="5"/>
        <v>2827.5</v>
      </c>
      <c r="J25" s="10">
        <f t="shared" si="5"/>
        <v>26328.25</v>
      </c>
      <c r="K25" s="15">
        <v>102</v>
      </c>
    </row>
    <row r="26" spans="1:11" x14ac:dyDescent="0.3">
      <c r="A26" s="3" t="s">
        <v>10</v>
      </c>
      <c r="B26" s="13">
        <f>+B25/B28*100</f>
        <v>85</v>
      </c>
      <c r="C26" s="13">
        <f>+C25/C33*100</f>
        <v>72.27272727272728</v>
      </c>
      <c r="D26" s="13">
        <f>+D25/D33*100</f>
        <v>64</v>
      </c>
      <c r="K26" s="14"/>
    </row>
    <row r="27" spans="1:11" x14ac:dyDescent="0.3">
      <c r="A27" s="5" t="s">
        <v>11</v>
      </c>
      <c r="B27" s="11">
        <v>32</v>
      </c>
      <c r="C27" s="11">
        <v>61</v>
      </c>
      <c r="D27" s="11">
        <v>18</v>
      </c>
      <c r="E27" s="12"/>
      <c r="F27" s="5"/>
      <c r="G27" s="6">
        <f>+B27*K25</f>
        <v>3264</v>
      </c>
      <c r="H27" s="6">
        <f>+C27*K25</f>
        <v>6222</v>
      </c>
      <c r="I27" s="6">
        <f>+K25*D27</f>
        <v>1836</v>
      </c>
      <c r="J27" s="10">
        <f>+G27+H27+I27</f>
        <v>11322</v>
      </c>
      <c r="K27" s="39">
        <f>+J27+J28</f>
        <v>19482</v>
      </c>
    </row>
    <row r="28" spans="1:11" x14ac:dyDescent="0.3">
      <c r="A28" s="5" t="s">
        <v>12</v>
      </c>
      <c r="B28" s="11">
        <v>80</v>
      </c>
      <c r="C28" s="12"/>
      <c r="D28" s="12"/>
      <c r="E28" s="5"/>
      <c r="F28" s="5"/>
      <c r="G28" s="6">
        <f>+B28*K25</f>
        <v>8160</v>
      </c>
      <c r="H28" s="6"/>
      <c r="I28" s="6"/>
      <c r="J28" s="10">
        <f>+G28+H28+I28</f>
        <v>8160</v>
      </c>
      <c r="K28" s="40"/>
    </row>
    <row r="29" spans="1:11" x14ac:dyDescent="0.3">
      <c r="A29" s="5" t="s">
        <v>13</v>
      </c>
      <c r="B29" s="11">
        <v>80</v>
      </c>
      <c r="C29" s="12"/>
      <c r="D29" s="12"/>
      <c r="E29" s="5"/>
      <c r="F29" s="5"/>
      <c r="G29" s="6">
        <f>+B29*K25</f>
        <v>8160</v>
      </c>
      <c r="H29" s="6"/>
      <c r="I29" s="6"/>
      <c r="J29" s="10">
        <f t="shared" ref="J29:J30" si="6">+G29+H29+I29</f>
        <v>8160</v>
      </c>
      <c r="K29" s="39">
        <f>+J29+J30</f>
        <v>16320</v>
      </c>
    </row>
    <row r="30" spans="1:11" x14ac:dyDescent="0.3">
      <c r="A30" s="5" t="s">
        <v>14</v>
      </c>
      <c r="B30" s="11">
        <v>80</v>
      </c>
      <c r="C30" s="12"/>
      <c r="D30" s="12"/>
      <c r="E30" s="5"/>
      <c r="F30" s="5"/>
      <c r="G30" s="6">
        <f>+B30*K25</f>
        <v>8160</v>
      </c>
      <c r="H30" s="6"/>
      <c r="I30" s="6"/>
      <c r="J30" s="10">
        <f t="shared" si="6"/>
        <v>8160</v>
      </c>
      <c r="K30" s="40"/>
    </row>
    <row r="33" spans="1:11" x14ac:dyDescent="0.3">
      <c r="A33" s="9" t="s">
        <v>3</v>
      </c>
      <c r="B33" s="13">
        <f>+B25+B27+B28+B29+B30</f>
        <v>340</v>
      </c>
      <c r="C33" s="13">
        <f t="shared" ref="C33:D33" si="7">+C25+C27+C28+C29+C30</f>
        <v>220</v>
      </c>
      <c r="D33" s="13">
        <f t="shared" si="7"/>
        <v>50</v>
      </c>
      <c r="E33" s="13">
        <f>+B33+C33+D33</f>
        <v>610</v>
      </c>
      <c r="G33" s="10">
        <f>+G25+G27+G28+G29+G30</f>
        <v>34149.5</v>
      </c>
      <c r="H33" s="10">
        <f t="shared" ref="H33:I33" si="8">+H25+H27+H28+H29+H30</f>
        <v>23317.25</v>
      </c>
      <c r="I33" s="10">
        <f t="shared" si="8"/>
        <v>4663.5</v>
      </c>
      <c r="J33" s="10">
        <f>+G33+H33+I33</f>
        <v>62130.25</v>
      </c>
    </row>
    <row r="36" spans="1:11" ht="133.5" customHeight="1" x14ac:dyDescent="0.3">
      <c r="A36" s="41" t="s">
        <v>48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</row>
  </sheetData>
  <mergeCells count="8">
    <mergeCell ref="K27:K28"/>
    <mergeCell ref="K29:K30"/>
    <mergeCell ref="A16:K16"/>
    <mergeCell ref="A36:K36"/>
    <mergeCell ref="K8:K9"/>
    <mergeCell ref="K10:K11"/>
    <mergeCell ref="A21:A22"/>
    <mergeCell ref="G21:J21"/>
  </mergeCells>
  <pageMargins left="0.25" right="0.25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2"/>
  <sheetViews>
    <sheetView tabSelected="1" topLeftCell="A45" zoomScaleNormal="100" workbookViewId="0">
      <selection activeCell="H70" sqref="H70"/>
    </sheetView>
  </sheetViews>
  <sheetFormatPr defaultRowHeight="15" x14ac:dyDescent="0.25"/>
  <cols>
    <col min="1" max="1" width="7.5703125" customWidth="1"/>
    <col min="2" max="2" width="24.5703125" customWidth="1"/>
    <col min="3" max="3" width="8.140625" customWidth="1"/>
    <col min="4" max="4" width="6.28515625" bestFit="1" customWidth="1"/>
    <col min="5" max="5" width="11.42578125" customWidth="1"/>
    <col min="6" max="6" width="11.7109375" style="23" bestFit="1" customWidth="1"/>
    <col min="7" max="7" width="11.85546875" style="24" bestFit="1" customWidth="1"/>
    <col min="8" max="8" width="11.85546875" style="22" bestFit="1" customWidth="1"/>
    <col min="9" max="9" width="6.85546875" bestFit="1" customWidth="1"/>
    <col min="10" max="10" width="9.7109375" bestFit="1" customWidth="1"/>
    <col min="11" max="11" width="10.28515625" style="22" bestFit="1" customWidth="1"/>
    <col min="12" max="12" width="10.85546875" style="22" bestFit="1" customWidth="1"/>
    <col min="13" max="13" width="6.85546875" bestFit="1" customWidth="1"/>
    <col min="14" max="15" width="9.7109375" bestFit="1" customWidth="1"/>
    <col min="16" max="16" width="18" customWidth="1"/>
  </cols>
  <sheetData>
    <row r="1" spans="1:16" x14ac:dyDescent="0.25">
      <c r="B1" s="33" t="s">
        <v>54</v>
      </c>
    </row>
    <row r="3" spans="1:16" x14ac:dyDescent="0.25">
      <c r="A3" s="1"/>
      <c r="B3" s="1"/>
      <c r="C3" s="1"/>
      <c r="D3" s="1"/>
      <c r="E3" s="1"/>
      <c r="F3" s="48" t="s">
        <v>38</v>
      </c>
      <c r="G3" s="48"/>
      <c r="H3" s="48"/>
      <c r="I3" s="25"/>
      <c r="J3" s="48" t="s">
        <v>42</v>
      </c>
      <c r="K3" s="48"/>
      <c r="L3" s="25"/>
      <c r="M3" s="48" t="s">
        <v>44</v>
      </c>
      <c r="N3" s="48"/>
      <c r="O3" s="26"/>
      <c r="P3" s="1" t="s">
        <v>46</v>
      </c>
    </row>
    <row r="4" spans="1:16" x14ac:dyDescent="0.25">
      <c r="A4" s="1"/>
      <c r="B4" s="1"/>
      <c r="C4" s="1">
        <f>+ampop!K6/2</f>
        <v>110</v>
      </c>
      <c r="D4" s="1"/>
      <c r="E4" s="1"/>
      <c r="F4" s="48" t="s">
        <v>39</v>
      </c>
      <c r="G4" s="48"/>
      <c r="H4" s="25"/>
      <c r="I4" s="25"/>
      <c r="J4" s="48"/>
      <c r="K4" s="48"/>
      <c r="L4" s="25"/>
      <c r="M4" s="25"/>
      <c r="N4" s="48"/>
      <c r="O4" s="48"/>
      <c r="P4" s="1"/>
    </row>
    <row r="5" spans="1:16" x14ac:dyDescent="0.25">
      <c r="A5" s="1"/>
      <c r="B5" s="1"/>
      <c r="C5" s="1" t="s">
        <v>49</v>
      </c>
      <c r="D5" s="1" t="s">
        <v>50</v>
      </c>
      <c r="E5" s="1" t="s">
        <v>51</v>
      </c>
      <c r="F5" s="25" t="s">
        <v>41</v>
      </c>
      <c r="G5" s="27" t="s">
        <v>40</v>
      </c>
      <c r="H5" s="27"/>
      <c r="I5" s="25">
        <f>+J6/I6</f>
        <v>60.12658227848101</v>
      </c>
      <c r="J5" s="25" t="s">
        <v>43</v>
      </c>
      <c r="K5" s="27" t="s">
        <v>40</v>
      </c>
      <c r="L5" s="27"/>
      <c r="M5" s="25">
        <v>125</v>
      </c>
      <c r="N5" s="25" t="s">
        <v>45</v>
      </c>
      <c r="O5" s="25"/>
      <c r="P5" s="1"/>
    </row>
    <row r="6" spans="1:16" x14ac:dyDescent="0.25">
      <c r="A6" s="44">
        <v>2021</v>
      </c>
      <c r="B6" s="1" t="s">
        <v>23</v>
      </c>
      <c r="C6" s="1">
        <v>2900</v>
      </c>
      <c r="D6" s="1"/>
      <c r="E6" s="1">
        <f>+C6</f>
        <v>2900</v>
      </c>
      <c r="F6" s="28">
        <f>+E6*C$4</f>
        <v>319000</v>
      </c>
      <c r="G6" s="29">
        <f>+F6*0.8</f>
        <v>255200</v>
      </c>
      <c r="H6" s="47">
        <f>+G6+G7</f>
        <v>528000</v>
      </c>
      <c r="I6" s="28">
        <v>790</v>
      </c>
      <c r="J6" s="28">
        <v>47500</v>
      </c>
      <c r="K6" s="29">
        <f>+J6*2</f>
        <v>95000</v>
      </c>
      <c r="L6" s="47">
        <f>+K6+K7</f>
        <v>165918</v>
      </c>
      <c r="M6" s="28">
        <v>40</v>
      </c>
      <c r="N6" s="28">
        <v>5000</v>
      </c>
      <c r="O6" s="47">
        <f>+N6+N7</f>
        <v>10500</v>
      </c>
      <c r="P6" s="47">
        <f>+O6+L6+H6</f>
        <v>704418</v>
      </c>
    </row>
    <row r="7" spans="1:16" x14ac:dyDescent="0.25">
      <c r="A7" s="44"/>
      <c r="B7" s="1" t="s">
        <v>24</v>
      </c>
      <c r="C7" s="1">
        <v>200</v>
      </c>
      <c r="D7" s="1"/>
      <c r="E7" s="1">
        <f>+E6+C7</f>
        <v>3100</v>
      </c>
      <c r="F7" s="28">
        <f>+E7*C$4</f>
        <v>341000</v>
      </c>
      <c r="G7" s="29">
        <f t="shared" ref="G7:G21" si="0">+F7*0.8</f>
        <v>272800</v>
      </c>
      <c r="H7" s="47"/>
      <c r="I7" s="28">
        <v>590</v>
      </c>
      <c r="J7" s="28">
        <f>+I7*60.1</f>
        <v>35459</v>
      </c>
      <c r="K7" s="29">
        <f t="shared" ref="K7:K18" si="1">+J7*2</f>
        <v>70918</v>
      </c>
      <c r="L7" s="47"/>
      <c r="M7" s="28">
        <f>+M6*1.1</f>
        <v>44</v>
      </c>
      <c r="N7" s="28">
        <f>+M7*125</f>
        <v>5500</v>
      </c>
      <c r="O7" s="47"/>
      <c r="P7" s="47"/>
    </row>
    <row r="8" spans="1:16" x14ac:dyDescent="0.25">
      <c r="A8" s="44">
        <v>2022</v>
      </c>
      <c r="B8" s="1" t="s">
        <v>25</v>
      </c>
      <c r="C8" s="1">
        <v>1700</v>
      </c>
      <c r="D8" s="1">
        <v>500</v>
      </c>
      <c r="E8" s="1">
        <f>+E7+C8-D8</f>
        <v>4300</v>
      </c>
      <c r="F8" s="28">
        <f>+E8*C$4</f>
        <v>473000</v>
      </c>
      <c r="G8" s="29">
        <f t="shared" si="0"/>
        <v>378400</v>
      </c>
      <c r="H8" s="47">
        <f t="shared" ref="H8" si="2">+G8+G9</f>
        <v>906400</v>
      </c>
      <c r="I8" s="28">
        <v>590</v>
      </c>
      <c r="J8" s="28">
        <f t="shared" ref="J8:J14" si="3">+I8*60.1</f>
        <v>35459</v>
      </c>
      <c r="K8" s="29">
        <f t="shared" si="1"/>
        <v>70918</v>
      </c>
      <c r="L8" s="47">
        <f t="shared" ref="L8" si="4">+K8+K9</f>
        <v>118998</v>
      </c>
      <c r="M8" s="28">
        <v>44</v>
      </c>
      <c r="N8" s="28">
        <f t="shared" ref="N8:N21" si="5">+M8*125</f>
        <v>5500</v>
      </c>
      <c r="O8" s="47">
        <f t="shared" ref="O8" si="6">+N8+N9</f>
        <v>11500</v>
      </c>
      <c r="P8" s="47">
        <f t="shared" ref="P8" si="7">+O8+L8+H8</f>
        <v>1036898</v>
      </c>
    </row>
    <row r="9" spans="1:16" x14ac:dyDescent="0.25">
      <c r="A9" s="44"/>
      <c r="B9" s="1" t="s">
        <v>26</v>
      </c>
      <c r="C9" s="1">
        <v>1700</v>
      </c>
      <c r="D9" s="1"/>
      <c r="E9" s="1">
        <f t="shared" ref="E9:E13" si="8">+E8+C9-D9</f>
        <v>6000</v>
      </c>
      <c r="F9" s="28">
        <f>+E9*C$4</f>
        <v>660000</v>
      </c>
      <c r="G9" s="29">
        <f t="shared" si="0"/>
        <v>528000</v>
      </c>
      <c r="H9" s="47"/>
      <c r="I9" s="28">
        <v>400</v>
      </c>
      <c r="J9" s="28">
        <f t="shared" si="3"/>
        <v>24040</v>
      </c>
      <c r="K9" s="29">
        <f t="shared" si="1"/>
        <v>48080</v>
      </c>
      <c r="L9" s="47"/>
      <c r="M9" s="28">
        <v>48</v>
      </c>
      <c r="N9" s="28">
        <f t="shared" si="5"/>
        <v>6000</v>
      </c>
      <c r="O9" s="47"/>
      <c r="P9" s="47"/>
    </row>
    <row r="10" spans="1:16" x14ac:dyDescent="0.25">
      <c r="A10" s="44">
        <v>2023</v>
      </c>
      <c r="B10" s="1" t="s">
        <v>27</v>
      </c>
      <c r="C10" s="1">
        <v>100</v>
      </c>
      <c r="D10" s="1">
        <v>1000</v>
      </c>
      <c r="E10" s="1">
        <f t="shared" si="8"/>
        <v>5100</v>
      </c>
      <c r="F10" s="28">
        <f>+E10*C$4</f>
        <v>561000</v>
      </c>
      <c r="G10" s="29">
        <f t="shared" si="0"/>
        <v>448800</v>
      </c>
      <c r="H10" s="47">
        <f t="shared" ref="H10" si="9">+G10+G11</f>
        <v>906400</v>
      </c>
      <c r="I10" s="28">
        <v>400</v>
      </c>
      <c r="J10" s="28">
        <f t="shared" si="3"/>
        <v>24040</v>
      </c>
      <c r="K10" s="29">
        <f t="shared" si="1"/>
        <v>48080</v>
      </c>
      <c r="L10" s="47">
        <f t="shared" ref="L10" si="10">+K10+K11</f>
        <v>72120</v>
      </c>
      <c r="M10" s="28">
        <v>48</v>
      </c>
      <c r="N10" s="28">
        <f t="shared" si="5"/>
        <v>6000</v>
      </c>
      <c r="O10" s="47">
        <f t="shared" ref="O10" si="11">+N10+N11</f>
        <v>12625</v>
      </c>
      <c r="P10" s="47">
        <f t="shared" ref="P10" si="12">+O10+L10+H10</f>
        <v>991145</v>
      </c>
    </row>
    <row r="11" spans="1:16" x14ac:dyDescent="0.25">
      <c r="A11" s="44"/>
      <c r="B11" s="1" t="s">
        <v>28</v>
      </c>
      <c r="C11" s="1">
        <v>100</v>
      </c>
      <c r="D11" s="1"/>
      <c r="E11" s="1">
        <f t="shared" si="8"/>
        <v>5200</v>
      </c>
      <c r="F11" s="28">
        <f t="shared" ref="F11:F20" si="13">+E11*C$4</f>
        <v>572000</v>
      </c>
      <c r="G11" s="29">
        <f t="shared" si="0"/>
        <v>457600</v>
      </c>
      <c r="H11" s="47"/>
      <c r="I11" s="28">
        <v>200</v>
      </c>
      <c r="J11" s="28">
        <f t="shared" si="3"/>
        <v>12020</v>
      </c>
      <c r="K11" s="29">
        <f t="shared" si="1"/>
        <v>24040</v>
      </c>
      <c r="L11" s="47"/>
      <c r="M11" s="28">
        <v>53</v>
      </c>
      <c r="N11" s="28">
        <f t="shared" si="5"/>
        <v>6625</v>
      </c>
      <c r="O11" s="47"/>
      <c r="P11" s="47"/>
    </row>
    <row r="12" spans="1:16" x14ac:dyDescent="0.25">
      <c r="A12" s="44">
        <v>2024</v>
      </c>
      <c r="B12" s="1" t="s">
        <v>29</v>
      </c>
      <c r="C12" s="1">
        <v>100</v>
      </c>
      <c r="D12" s="1">
        <v>2000</v>
      </c>
      <c r="E12" s="1">
        <f t="shared" si="8"/>
        <v>3300</v>
      </c>
      <c r="F12" s="28">
        <f>+E12*C$4</f>
        <v>363000</v>
      </c>
      <c r="G12" s="29">
        <f t="shared" si="0"/>
        <v>290400</v>
      </c>
      <c r="H12" s="47">
        <f t="shared" ref="H12" si="14">+G12+G13</f>
        <v>633600</v>
      </c>
      <c r="I12" s="28">
        <v>200</v>
      </c>
      <c r="J12" s="28">
        <f t="shared" si="3"/>
        <v>12020</v>
      </c>
      <c r="K12" s="29">
        <f t="shared" si="1"/>
        <v>24040</v>
      </c>
      <c r="L12" s="47">
        <f t="shared" ref="L12" si="15">+K12+K13</f>
        <v>36060</v>
      </c>
      <c r="M12" s="28">
        <v>53</v>
      </c>
      <c r="N12" s="28">
        <f t="shared" si="5"/>
        <v>6625</v>
      </c>
      <c r="O12" s="47">
        <f t="shared" ref="O12" si="16">+N12+N13</f>
        <v>13875</v>
      </c>
      <c r="P12" s="47">
        <f t="shared" ref="P12" si="17">+O12+L12+H12</f>
        <v>683535</v>
      </c>
    </row>
    <row r="13" spans="1:16" x14ac:dyDescent="0.25">
      <c r="A13" s="44"/>
      <c r="B13" s="1" t="s">
        <v>30</v>
      </c>
      <c r="C13" s="32">
        <v>600</v>
      </c>
      <c r="D13" s="1"/>
      <c r="E13" s="1">
        <f t="shared" si="8"/>
        <v>3900</v>
      </c>
      <c r="F13" s="28">
        <f>+E13*C$4</f>
        <v>429000</v>
      </c>
      <c r="G13" s="29">
        <f t="shared" si="0"/>
        <v>343200</v>
      </c>
      <c r="H13" s="47"/>
      <c r="I13" s="28">
        <v>100</v>
      </c>
      <c r="J13" s="28">
        <f t="shared" si="3"/>
        <v>6010</v>
      </c>
      <c r="K13" s="29">
        <f t="shared" si="1"/>
        <v>12020</v>
      </c>
      <c r="L13" s="47"/>
      <c r="M13" s="28">
        <v>58</v>
      </c>
      <c r="N13" s="28">
        <f t="shared" si="5"/>
        <v>7250</v>
      </c>
      <c r="O13" s="47"/>
      <c r="P13" s="47"/>
    </row>
    <row r="14" spans="1:16" x14ac:dyDescent="0.25">
      <c r="A14" s="44">
        <v>2025</v>
      </c>
      <c r="B14" s="1" t="s">
        <v>31</v>
      </c>
      <c r="C14" s="32">
        <v>600</v>
      </c>
      <c r="D14" s="1">
        <v>2800</v>
      </c>
      <c r="E14" s="1">
        <f>+E13+C14-D14</f>
        <v>1700</v>
      </c>
      <c r="F14" s="28">
        <f>+E14*C$4</f>
        <v>187000</v>
      </c>
      <c r="G14" s="29">
        <f t="shared" si="0"/>
        <v>149600</v>
      </c>
      <c r="H14" s="47">
        <f t="shared" ref="H14" si="18">+G14+G15</f>
        <v>202400</v>
      </c>
      <c r="I14" s="28">
        <v>100</v>
      </c>
      <c r="J14" s="28">
        <f t="shared" si="3"/>
        <v>6010</v>
      </c>
      <c r="K14" s="29">
        <f t="shared" si="1"/>
        <v>12020</v>
      </c>
      <c r="L14" s="47">
        <f t="shared" ref="L14" si="19">+K14+K15</f>
        <v>12020</v>
      </c>
      <c r="M14" s="28">
        <v>58</v>
      </c>
      <c r="N14" s="28">
        <f t="shared" si="5"/>
        <v>7250</v>
      </c>
      <c r="O14" s="47">
        <f t="shared" ref="O14" si="20">+N14+N15</f>
        <v>15250</v>
      </c>
      <c r="P14" s="47">
        <f t="shared" ref="P14" si="21">+O14+L14+H14</f>
        <v>229670</v>
      </c>
    </row>
    <row r="15" spans="1:16" x14ac:dyDescent="0.25">
      <c r="A15" s="44"/>
      <c r="B15" s="1" t="s">
        <v>32</v>
      </c>
      <c r="C15" s="32">
        <v>600</v>
      </c>
      <c r="D15" s="1"/>
      <c r="E15" s="32">
        <v>600</v>
      </c>
      <c r="F15" s="28">
        <f>+E15*C$4</f>
        <v>66000</v>
      </c>
      <c r="G15" s="29">
        <f t="shared" si="0"/>
        <v>52800</v>
      </c>
      <c r="H15" s="47"/>
      <c r="I15" s="28">
        <v>0</v>
      </c>
      <c r="J15" s="28"/>
      <c r="K15" s="29">
        <f t="shared" si="1"/>
        <v>0</v>
      </c>
      <c r="L15" s="47"/>
      <c r="M15" s="28">
        <v>64</v>
      </c>
      <c r="N15" s="28">
        <f t="shared" si="5"/>
        <v>8000</v>
      </c>
      <c r="O15" s="47"/>
      <c r="P15" s="47"/>
    </row>
    <row r="16" spans="1:16" x14ac:dyDescent="0.25">
      <c r="A16" s="44">
        <v>2026</v>
      </c>
      <c r="B16" s="1" t="s">
        <v>33</v>
      </c>
      <c r="C16" s="32">
        <v>600</v>
      </c>
      <c r="D16" s="1"/>
      <c r="E16" s="32">
        <v>600</v>
      </c>
      <c r="F16" s="28">
        <f t="shared" si="13"/>
        <v>66000</v>
      </c>
      <c r="G16" s="29">
        <f t="shared" si="0"/>
        <v>52800</v>
      </c>
      <c r="H16" s="47">
        <f t="shared" ref="H16" si="22">+G16+G17</f>
        <v>105600</v>
      </c>
      <c r="I16" s="28">
        <f t="shared" ref="I16:I18" si="23">+I15-I15*0.25</f>
        <v>0</v>
      </c>
      <c r="J16" s="28"/>
      <c r="K16" s="29">
        <f t="shared" si="1"/>
        <v>0</v>
      </c>
      <c r="L16" s="47">
        <f t="shared" ref="L16" si="24">+K16+K17</f>
        <v>0</v>
      </c>
      <c r="M16" s="28">
        <v>64</v>
      </c>
      <c r="N16" s="28">
        <f t="shared" si="5"/>
        <v>8000</v>
      </c>
      <c r="O16" s="47">
        <f t="shared" ref="O16" si="25">+N16+N17</f>
        <v>16750</v>
      </c>
      <c r="P16" s="47">
        <f t="shared" ref="P16" si="26">+O16+L16+H16</f>
        <v>122350</v>
      </c>
    </row>
    <row r="17" spans="1:16" x14ac:dyDescent="0.25">
      <c r="A17" s="44"/>
      <c r="B17" s="1" t="s">
        <v>34</v>
      </c>
      <c r="C17" s="32">
        <v>600</v>
      </c>
      <c r="D17" s="1"/>
      <c r="E17" s="32">
        <v>600</v>
      </c>
      <c r="F17" s="28">
        <f t="shared" si="13"/>
        <v>66000</v>
      </c>
      <c r="G17" s="29">
        <f t="shared" si="0"/>
        <v>52800</v>
      </c>
      <c r="H17" s="47"/>
      <c r="I17" s="28">
        <f t="shared" si="23"/>
        <v>0</v>
      </c>
      <c r="J17" s="28"/>
      <c r="K17" s="29">
        <f t="shared" si="1"/>
        <v>0</v>
      </c>
      <c r="L17" s="47"/>
      <c r="M17" s="28">
        <v>70</v>
      </c>
      <c r="N17" s="28">
        <f t="shared" si="5"/>
        <v>8750</v>
      </c>
      <c r="O17" s="47"/>
      <c r="P17" s="47"/>
    </row>
    <row r="18" spans="1:16" x14ac:dyDescent="0.25">
      <c r="A18" s="44">
        <v>2027</v>
      </c>
      <c r="B18" s="1" t="s">
        <v>35</v>
      </c>
      <c r="C18" s="32">
        <v>600</v>
      </c>
      <c r="D18" s="1"/>
      <c r="E18" s="32">
        <v>600</v>
      </c>
      <c r="F18" s="28">
        <f t="shared" si="13"/>
        <v>66000</v>
      </c>
      <c r="G18" s="29">
        <f t="shared" si="0"/>
        <v>52800</v>
      </c>
      <c r="H18" s="47">
        <f t="shared" ref="H18" si="27">+G18+G19</f>
        <v>105600</v>
      </c>
      <c r="I18" s="28">
        <f t="shared" si="23"/>
        <v>0</v>
      </c>
      <c r="J18" s="28"/>
      <c r="K18" s="29">
        <f t="shared" si="1"/>
        <v>0</v>
      </c>
      <c r="L18" s="47">
        <f t="shared" ref="L18" si="28">+K18+K19</f>
        <v>0</v>
      </c>
      <c r="M18" s="28">
        <v>70</v>
      </c>
      <c r="N18" s="28">
        <f t="shared" si="5"/>
        <v>8750</v>
      </c>
      <c r="O18" s="47">
        <f t="shared" ref="O18" si="29">+N18+N19</f>
        <v>18375</v>
      </c>
      <c r="P18" s="47">
        <f t="shared" ref="P18" si="30">+O18+L18+H18</f>
        <v>123975</v>
      </c>
    </row>
    <row r="19" spans="1:16" x14ac:dyDescent="0.25">
      <c r="A19" s="44"/>
      <c r="B19" s="1" t="s">
        <v>36</v>
      </c>
      <c r="C19" s="32">
        <v>600</v>
      </c>
      <c r="D19" s="1"/>
      <c r="E19" s="32">
        <v>600</v>
      </c>
      <c r="F19" s="28">
        <f t="shared" si="13"/>
        <v>66000</v>
      </c>
      <c r="G19" s="29">
        <f t="shared" si="0"/>
        <v>52800</v>
      </c>
      <c r="H19" s="47"/>
      <c r="I19" s="28"/>
      <c r="J19" s="28"/>
      <c r="K19" s="29"/>
      <c r="L19" s="47"/>
      <c r="M19" s="28">
        <v>77</v>
      </c>
      <c r="N19" s="28">
        <f t="shared" si="5"/>
        <v>9625</v>
      </c>
      <c r="O19" s="47"/>
      <c r="P19" s="47"/>
    </row>
    <row r="20" spans="1:16" x14ac:dyDescent="0.25">
      <c r="A20" s="44">
        <v>2028</v>
      </c>
      <c r="B20" s="1" t="s">
        <v>37</v>
      </c>
      <c r="C20" s="32">
        <v>600</v>
      </c>
      <c r="D20" s="1"/>
      <c r="E20" s="32">
        <v>600</v>
      </c>
      <c r="F20" s="28">
        <f t="shared" si="13"/>
        <v>66000</v>
      </c>
      <c r="G20" s="29">
        <f t="shared" si="0"/>
        <v>52800</v>
      </c>
      <c r="H20" s="47">
        <f t="shared" ref="H20" si="31">+G20+G21</f>
        <v>52800</v>
      </c>
      <c r="I20" s="28"/>
      <c r="J20" s="28"/>
      <c r="K20" s="29"/>
      <c r="L20" s="47">
        <f t="shared" ref="L20" si="32">+K20+K21</f>
        <v>0</v>
      </c>
      <c r="M20" s="28">
        <v>77</v>
      </c>
      <c r="N20" s="28">
        <f t="shared" si="5"/>
        <v>9625</v>
      </c>
      <c r="O20" s="47">
        <f t="shared" ref="O20" si="33">+N20+N21</f>
        <v>20250</v>
      </c>
      <c r="P20" s="47">
        <f t="shared" ref="P20" si="34">+O20+L20+H20</f>
        <v>73050</v>
      </c>
    </row>
    <row r="21" spans="1:16" x14ac:dyDescent="0.25">
      <c r="A21" s="44"/>
      <c r="B21" s="1"/>
      <c r="C21" s="1"/>
      <c r="D21" s="1"/>
      <c r="E21" s="1"/>
      <c r="F21" s="28">
        <f t="shared" ref="F21" si="35">+E21*C$4</f>
        <v>0</v>
      </c>
      <c r="G21" s="29">
        <f t="shared" si="0"/>
        <v>0</v>
      </c>
      <c r="H21" s="47"/>
      <c r="I21" s="30"/>
      <c r="J21" s="30"/>
      <c r="K21" s="31"/>
      <c r="L21" s="47"/>
      <c r="M21" s="30">
        <v>85</v>
      </c>
      <c r="N21" s="28">
        <f t="shared" si="5"/>
        <v>10625</v>
      </c>
      <c r="O21" s="47"/>
      <c r="P21" s="47"/>
    </row>
    <row r="23" spans="1:16" x14ac:dyDescent="0.25">
      <c r="B23" s="37" t="s">
        <v>52</v>
      </c>
      <c r="C23" s="33" t="s">
        <v>53</v>
      </c>
      <c r="D23" s="33"/>
      <c r="E23" s="32" t="s">
        <v>46</v>
      </c>
    </row>
    <row r="24" spans="1:16" x14ac:dyDescent="0.25">
      <c r="A24" s="44">
        <v>2022</v>
      </c>
      <c r="B24" s="45">
        <f>H8+L8</f>
        <v>1025398</v>
      </c>
      <c r="C24" s="45">
        <f>+O8</f>
        <v>11500</v>
      </c>
      <c r="D24" s="45"/>
      <c r="E24" s="45">
        <f>+B24+C24</f>
        <v>1036898</v>
      </c>
    </row>
    <row r="25" spans="1:16" x14ac:dyDescent="0.25">
      <c r="A25" s="44"/>
      <c r="B25" s="44"/>
      <c r="C25" s="44"/>
      <c r="D25" s="44"/>
      <c r="E25" s="44"/>
    </row>
    <row r="26" spans="1:16" x14ac:dyDescent="0.25">
      <c r="A26" s="44">
        <v>2023</v>
      </c>
      <c r="B26" s="45">
        <f>+H10+L10</f>
        <v>978520</v>
      </c>
      <c r="C26" s="45">
        <f>+O10</f>
        <v>12625</v>
      </c>
      <c r="E26" s="45">
        <f t="shared" ref="E26" si="36">+B26+C26</f>
        <v>991145</v>
      </c>
    </row>
    <row r="27" spans="1:16" x14ac:dyDescent="0.25">
      <c r="A27" s="44"/>
      <c r="B27" s="44"/>
      <c r="C27" s="44"/>
      <c r="E27" s="44"/>
    </row>
    <row r="28" spans="1:16" x14ac:dyDescent="0.25">
      <c r="A28" s="44">
        <v>2024</v>
      </c>
      <c r="B28" s="45">
        <f>+H12+L12</f>
        <v>669660</v>
      </c>
      <c r="C28" s="45">
        <f>+O12</f>
        <v>13875</v>
      </c>
      <c r="E28" s="45">
        <f t="shared" ref="E28" si="37">+B28+C28</f>
        <v>683535</v>
      </c>
    </row>
    <row r="29" spans="1:16" x14ac:dyDescent="0.25">
      <c r="A29" s="44"/>
      <c r="B29" s="44"/>
      <c r="C29" s="44"/>
      <c r="E29" s="44"/>
    </row>
    <row r="30" spans="1:16" x14ac:dyDescent="0.25">
      <c r="A30" s="38"/>
      <c r="B30" s="38"/>
      <c r="C30" s="38"/>
      <c r="E30" s="38"/>
    </row>
    <row r="31" spans="1:16" x14ac:dyDescent="0.25">
      <c r="A31" s="38"/>
      <c r="B31" s="38"/>
      <c r="C31" s="38"/>
      <c r="E31" s="38"/>
    </row>
    <row r="32" spans="1:16" x14ac:dyDescent="0.25">
      <c r="B32" s="33" t="s">
        <v>55</v>
      </c>
    </row>
    <row r="34" spans="1:18" x14ac:dyDescent="0.25">
      <c r="A34" s="1"/>
      <c r="B34" s="1"/>
      <c r="C34" s="48" t="s">
        <v>38</v>
      </c>
      <c r="D34" s="48"/>
      <c r="E34" s="48"/>
      <c r="F34" s="48"/>
      <c r="G34" s="48"/>
      <c r="H34" s="48" t="s">
        <v>42</v>
      </c>
      <c r="I34" s="48"/>
      <c r="J34" s="48"/>
      <c r="K34" s="48"/>
      <c r="L34" s="48" t="s">
        <v>53</v>
      </c>
      <c r="M34" s="48"/>
      <c r="N34" s="48"/>
      <c r="O34" s="48"/>
      <c r="P34" s="1" t="s">
        <v>46</v>
      </c>
    </row>
    <row r="35" spans="1:18" x14ac:dyDescent="0.25">
      <c r="A35" s="1"/>
      <c r="B35" s="1"/>
      <c r="C35" s="1">
        <f>+ampop!K25/2</f>
        <v>51</v>
      </c>
      <c r="D35" s="1"/>
      <c r="E35" s="1"/>
      <c r="F35" s="36"/>
      <c r="G35" s="35"/>
      <c r="H35" s="35"/>
      <c r="I35" s="48"/>
      <c r="J35" s="48"/>
      <c r="K35" s="35"/>
      <c r="L35" s="35"/>
      <c r="M35" s="48"/>
      <c r="N35" s="48"/>
      <c r="O35" s="35"/>
    </row>
    <row r="36" spans="1:18" x14ac:dyDescent="0.25">
      <c r="A36" s="1"/>
      <c r="B36" s="1"/>
      <c r="C36" s="1" t="s">
        <v>49</v>
      </c>
      <c r="D36" s="1" t="s">
        <v>50</v>
      </c>
      <c r="E36" s="1" t="s">
        <v>51</v>
      </c>
      <c r="F36" s="35" t="s">
        <v>41</v>
      </c>
      <c r="G36" s="27"/>
      <c r="H36" s="1" t="s">
        <v>49</v>
      </c>
      <c r="I36" s="1" t="s">
        <v>50</v>
      </c>
      <c r="J36" s="1" t="s">
        <v>51</v>
      </c>
      <c r="K36" s="35" t="s">
        <v>41</v>
      </c>
      <c r="L36" s="1" t="s">
        <v>49</v>
      </c>
      <c r="M36" s="1" t="s">
        <v>50</v>
      </c>
      <c r="N36" s="1" t="s">
        <v>51</v>
      </c>
      <c r="O36" s="35" t="s">
        <v>45</v>
      </c>
      <c r="P36" s="35"/>
      <c r="Q36" s="35"/>
      <c r="R36" s="1"/>
    </row>
    <row r="37" spans="1:18" x14ac:dyDescent="0.25">
      <c r="A37" s="44">
        <v>2021</v>
      </c>
      <c r="B37" s="1" t="s">
        <v>23</v>
      </c>
      <c r="C37" s="1">
        <v>150</v>
      </c>
      <c r="D37" s="1"/>
      <c r="E37" s="1">
        <f>+C37</f>
        <v>150</v>
      </c>
      <c r="F37" s="28">
        <f>+E37*C$4</f>
        <v>16500</v>
      </c>
      <c r="G37" s="47">
        <f>+F37+F38</f>
        <v>44000</v>
      </c>
      <c r="H37" s="1">
        <v>60</v>
      </c>
      <c r="I37" s="1"/>
      <c r="J37" s="1">
        <f>+H37</f>
        <v>60</v>
      </c>
      <c r="K37" s="28">
        <f>+J37*C$35</f>
        <v>3060</v>
      </c>
      <c r="L37" s="1">
        <v>50</v>
      </c>
      <c r="M37" s="1"/>
      <c r="N37" s="1">
        <f>+L37</f>
        <v>50</v>
      </c>
      <c r="O37" s="28">
        <f>+N37*C$35*2</f>
        <v>5100</v>
      </c>
      <c r="P37" s="28">
        <f>+F37+K37+O37</f>
        <v>24660</v>
      </c>
      <c r="Q37" s="47">
        <f>+P37+P38</f>
        <v>62870</v>
      </c>
      <c r="R37" s="47"/>
    </row>
    <row r="38" spans="1:18" x14ac:dyDescent="0.25">
      <c r="A38" s="44"/>
      <c r="B38" s="1" t="s">
        <v>24</v>
      </c>
      <c r="C38" s="1">
        <v>100</v>
      </c>
      <c r="D38" s="1"/>
      <c r="E38" s="1">
        <f>+E37+C38</f>
        <v>250</v>
      </c>
      <c r="F38" s="28">
        <f>+E38*C$4</f>
        <v>27500</v>
      </c>
      <c r="G38" s="47"/>
      <c r="H38" s="1">
        <v>10</v>
      </c>
      <c r="I38" s="1"/>
      <c r="J38" s="1">
        <f>+J37+H38</f>
        <v>70</v>
      </c>
      <c r="K38" s="28">
        <f t="shared" ref="K38:K51" si="38">+J38*C$35</f>
        <v>3570</v>
      </c>
      <c r="L38" s="1">
        <v>20</v>
      </c>
      <c r="M38" s="1"/>
      <c r="N38" s="1">
        <f>+N37+L38</f>
        <v>70</v>
      </c>
      <c r="O38" s="28">
        <f t="shared" ref="O38:O50" si="39">+N38*C$35*2</f>
        <v>7140</v>
      </c>
      <c r="P38" s="28">
        <f t="shared" ref="P38:P50" si="40">+F38+K38+O38</f>
        <v>38210</v>
      </c>
      <c r="Q38" s="47"/>
      <c r="R38" s="47"/>
    </row>
    <row r="39" spans="1:18" x14ac:dyDescent="0.25">
      <c r="A39" s="44">
        <v>2022</v>
      </c>
      <c r="B39" s="1" t="s">
        <v>25</v>
      </c>
      <c r="C39" s="1">
        <v>100</v>
      </c>
      <c r="D39" s="1">
        <v>50</v>
      </c>
      <c r="E39" s="1">
        <f>+E38+C39-D39</f>
        <v>300</v>
      </c>
      <c r="F39" s="28">
        <f>+E39*C$4</f>
        <v>33000</v>
      </c>
      <c r="G39" s="47">
        <f t="shared" ref="G39" si="41">+F39+F40</f>
        <v>77000</v>
      </c>
      <c r="H39" s="1">
        <v>30</v>
      </c>
      <c r="I39" s="1">
        <v>30</v>
      </c>
      <c r="J39" s="1">
        <f>+J38+H39-I39</f>
        <v>70</v>
      </c>
      <c r="K39" s="28">
        <f t="shared" si="38"/>
        <v>3570</v>
      </c>
      <c r="L39" s="1">
        <v>57</v>
      </c>
      <c r="M39" s="1">
        <v>25</v>
      </c>
      <c r="N39" s="1">
        <f>+N38+L39-M39</f>
        <v>102</v>
      </c>
      <c r="O39" s="28">
        <f t="shared" si="39"/>
        <v>10404</v>
      </c>
      <c r="P39" s="28">
        <f t="shared" si="40"/>
        <v>46974</v>
      </c>
      <c r="Q39" s="47">
        <f t="shared" ref="Q39" si="42">+P39+P40</f>
        <v>107549</v>
      </c>
      <c r="R39" s="47"/>
    </row>
    <row r="40" spans="1:18" x14ac:dyDescent="0.25">
      <c r="A40" s="44"/>
      <c r="B40" s="1" t="s">
        <v>26</v>
      </c>
      <c r="C40" s="1">
        <v>100</v>
      </c>
      <c r="D40" s="1"/>
      <c r="E40" s="1">
        <f t="shared" ref="E40:E44" si="43">+E39+C40-D40</f>
        <v>400</v>
      </c>
      <c r="F40" s="28">
        <f>+E40*C$4</f>
        <v>44000</v>
      </c>
      <c r="G40" s="47"/>
      <c r="H40" s="1">
        <v>5</v>
      </c>
      <c r="I40" s="1"/>
      <c r="J40" s="1">
        <f t="shared" ref="J40:J44" si="44">+J39+H40-I40</f>
        <v>75</v>
      </c>
      <c r="K40" s="28">
        <f t="shared" si="38"/>
        <v>3825</v>
      </c>
      <c r="L40" s="1">
        <v>23</v>
      </c>
      <c r="M40" s="1"/>
      <c r="N40" s="1">
        <f t="shared" ref="N40:N52" si="45">+N39+L40-M40</f>
        <v>125</v>
      </c>
      <c r="O40" s="28">
        <f t="shared" si="39"/>
        <v>12750</v>
      </c>
      <c r="P40" s="28">
        <f t="shared" si="40"/>
        <v>60575</v>
      </c>
      <c r="Q40" s="47"/>
      <c r="R40" s="47"/>
    </row>
    <row r="41" spans="1:18" x14ac:dyDescent="0.25">
      <c r="A41" s="44">
        <v>2023</v>
      </c>
      <c r="B41" s="1" t="s">
        <v>27</v>
      </c>
      <c r="C41" s="1">
        <v>100</v>
      </c>
      <c r="D41" s="1">
        <v>50</v>
      </c>
      <c r="E41" s="1">
        <f t="shared" si="43"/>
        <v>450</v>
      </c>
      <c r="F41" s="28">
        <f>+E41*C$4</f>
        <v>49500</v>
      </c>
      <c r="G41" s="47">
        <f t="shared" ref="G41" si="46">+F41+F42</f>
        <v>110000</v>
      </c>
      <c r="H41" s="1">
        <v>15</v>
      </c>
      <c r="I41" s="1">
        <v>50</v>
      </c>
      <c r="J41" s="1">
        <f t="shared" si="44"/>
        <v>40</v>
      </c>
      <c r="K41" s="28">
        <f t="shared" si="38"/>
        <v>2040</v>
      </c>
      <c r="L41" s="1">
        <v>66</v>
      </c>
      <c r="M41" s="1">
        <v>30</v>
      </c>
      <c r="N41" s="1">
        <f t="shared" si="45"/>
        <v>161</v>
      </c>
      <c r="O41" s="28">
        <f t="shared" si="39"/>
        <v>16422</v>
      </c>
      <c r="P41" s="28">
        <f t="shared" si="40"/>
        <v>67962</v>
      </c>
      <c r="Q41" s="47">
        <f t="shared" ref="Q41" si="47">+P41+P42</f>
        <v>149729</v>
      </c>
      <c r="R41" s="47"/>
    </row>
    <row r="42" spans="1:18" x14ac:dyDescent="0.25">
      <c r="A42" s="44"/>
      <c r="B42" s="1" t="s">
        <v>28</v>
      </c>
      <c r="C42" s="1">
        <v>100</v>
      </c>
      <c r="D42" s="1"/>
      <c r="E42" s="1">
        <f t="shared" si="43"/>
        <v>550</v>
      </c>
      <c r="F42" s="28">
        <f t="shared" ref="F42" si="48">+E42*C$4</f>
        <v>60500</v>
      </c>
      <c r="G42" s="47"/>
      <c r="H42" s="1">
        <v>3</v>
      </c>
      <c r="I42" s="1"/>
      <c r="J42" s="1">
        <f t="shared" si="44"/>
        <v>43</v>
      </c>
      <c r="K42" s="28">
        <f t="shared" si="38"/>
        <v>2193</v>
      </c>
      <c r="L42" s="1">
        <v>26</v>
      </c>
      <c r="M42" s="1"/>
      <c r="N42" s="1">
        <f t="shared" si="45"/>
        <v>187</v>
      </c>
      <c r="O42" s="28">
        <f t="shared" si="39"/>
        <v>19074</v>
      </c>
      <c r="P42" s="28">
        <f t="shared" si="40"/>
        <v>81767</v>
      </c>
      <c r="Q42" s="47"/>
      <c r="R42" s="47"/>
    </row>
    <row r="43" spans="1:18" x14ac:dyDescent="0.25">
      <c r="A43" s="44">
        <v>2024</v>
      </c>
      <c r="B43" s="1" t="s">
        <v>29</v>
      </c>
      <c r="C43" s="1">
        <v>100</v>
      </c>
      <c r="D43" s="1">
        <v>100</v>
      </c>
      <c r="E43" s="1">
        <f t="shared" si="43"/>
        <v>550</v>
      </c>
      <c r="F43" s="28">
        <f>+E43*C$4</f>
        <v>60500</v>
      </c>
      <c r="G43" s="47">
        <f t="shared" ref="G43" si="49">+F43+F44</f>
        <v>126500</v>
      </c>
      <c r="H43" s="1">
        <v>0</v>
      </c>
      <c r="I43" s="1">
        <v>43</v>
      </c>
      <c r="J43" s="1">
        <f t="shared" si="44"/>
        <v>0</v>
      </c>
      <c r="K43" s="28">
        <f t="shared" si="38"/>
        <v>0</v>
      </c>
      <c r="L43" s="1">
        <v>76</v>
      </c>
      <c r="M43" s="1">
        <v>37</v>
      </c>
      <c r="N43" s="1">
        <f t="shared" si="45"/>
        <v>226</v>
      </c>
      <c r="O43" s="28">
        <f t="shared" si="39"/>
        <v>23052</v>
      </c>
      <c r="P43" s="28">
        <f t="shared" si="40"/>
        <v>83552</v>
      </c>
      <c r="Q43" s="47">
        <f t="shared" ref="Q43" si="50">+P43+P44</f>
        <v>175664</v>
      </c>
      <c r="R43" s="47"/>
    </row>
    <row r="44" spans="1:18" x14ac:dyDescent="0.25">
      <c r="A44" s="44"/>
      <c r="B44" s="1" t="s">
        <v>30</v>
      </c>
      <c r="C44" s="32">
        <v>50</v>
      </c>
      <c r="D44" s="1"/>
      <c r="E44" s="1">
        <f t="shared" si="43"/>
        <v>600</v>
      </c>
      <c r="F44" s="28">
        <f>+E44*C$4</f>
        <v>66000</v>
      </c>
      <c r="G44" s="47"/>
      <c r="H44" s="32">
        <v>0</v>
      </c>
      <c r="I44" s="1"/>
      <c r="J44" s="1">
        <f t="shared" si="44"/>
        <v>0</v>
      </c>
      <c r="K44" s="28">
        <f t="shared" si="38"/>
        <v>0</v>
      </c>
      <c r="L44" s="1">
        <v>30</v>
      </c>
      <c r="M44" s="1"/>
      <c r="N44" s="1">
        <f t="shared" si="45"/>
        <v>256</v>
      </c>
      <c r="O44" s="28">
        <f t="shared" si="39"/>
        <v>26112</v>
      </c>
      <c r="P44" s="28">
        <f t="shared" si="40"/>
        <v>92112</v>
      </c>
      <c r="Q44" s="47"/>
      <c r="R44" s="47"/>
    </row>
    <row r="45" spans="1:18" x14ac:dyDescent="0.25">
      <c r="A45" s="44">
        <v>2025</v>
      </c>
      <c r="B45" s="1" t="s">
        <v>31</v>
      </c>
      <c r="C45" s="32">
        <v>50</v>
      </c>
      <c r="D45" s="1">
        <v>150</v>
      </c>
      <c r="E45" s="1">
        <f>+E44+C45-D45</f>
        <v>500</v>
      </c>
      <c r="F45" s="28">
        <f>+E45*C$4</f>
        <v>55000</v>
      </c>
      <c r="G45" s="47">
        <f t="shared" ref="G45" si="51">+F45+F46</f>
        <v>115500</v>
      </c>
      <c r="H45" s="32">
        <v>0</v>
      </c>
      <c r="I45" s="1"/>
      <c r="J45" s="1"/>
      <c r="K45" s="28">
        <f t="shared" si="38"/>
        <v>0</v>
      </c>
      <c r="L45" s="1">
        <v>88</v>
      </c>
      <c r="M45" s="1">
        <v>40</v>
      </c>
      <c r="N45" s="1">
        <f t="shared" si="45"/>
        <v>304</v>
      </c>
      <c r="O45" s="28">
        <f t="shared" si="39"/>
        <v>31008</v>
      </c>
      <c r="P45" s="28">
        <f t="shared" si="40"/>
        <v>86008</v>
      </c>
      <c r="Q45" s="47">
        <f t="shared" ref="Q45" si="52">+P45+P46</f>
        <v>181086</v>
      </c>
      <c r="R45" s="47"/>
    </row>
    <row r="46" spans="1:18" x14ac:dyDescent="0.25">
      <c r="A46" s="44"/>
      <c r="B46" s="1" t="s">
        <v>32</v>
      </c>
      <c r="C46" s="32">
        <v>50</v>
      </c>
      <c r="D46" s="1"/>
      <c r="E46" s="1">
        <f t="shared" ref="E46:E51" si="53">+E45+C46-D46</f>
        <v>550</v>
      </c>
      <c r="F46" s="28">
        <f>+E46*C$4</f>
        <v>60500</v>
      </c>
      <c r="G46" s="47"/>
      <c r="H46" s="32">
        <v>0</v>
      </c>
      <c r="I46" s="1"/>
      <c r="J46" s="1"/>
      <c r="K46" s="28">
        <f t="shared" si="38"/>
        <v>0</v>
      </c>
      <c r="L46" s="1">
        <v>35</v>
      </c>
      <c r="M46" s="1"/>
      <c r="N46" s="1">
        <f t="shared" si="45"/>
        <v>339</v>
      </c>
      <c r="O46" s="28">
        <f t="shared" si="39"/>
        <v>34578</v>
      </c>
      <c r="P46" s="28">
        <f t="shared" si="40"/>
        <v>95078</v>
      </c>
      <c r="Q46" s="47"/>
      <c r="R46" s="47"/>
    </row>
    <row r="47" spans="1:18" x14ac:dyDescent="0.25">
      <c r="A47" s="44">
        <v>2026</v>
      </c>
      <c r="B47" s="1" t="s">
        <v>33</v>
      </c>
      <c r="C47" s="32">
        <v>50</v>
      </c>
      <c r="D47" s="1">
        <v>200</v>
      </c>
      <c r="E47" s="1">
        <f t="shared" si="53"/>
        <v>400</v>
      </c>
      <c r="F47" s="28">
        <f t="shared" ref="F47:F52" si="54">+E47*C$4</f>
        <v>44000</v>
      </c>
      <c r="G47" s="47">
        <f t="shared" ref="G47" si="55">+F47+F48</f>
        <v>93500</v>
      </c>
      <c r="H47" s="32">
        <v>0</v>
      </c>
      <c r="I47" s="1"/>
      <c r="J47" s="1"/>
      <c r="K47" s="28">
        <f t="shared" si="38"/>
        <v>0</v>
      </c>
      <c r="L47" s="1">
        <v>101</v>
      </c>
      <c r="M47" s="1">
        <v>45</v>
      </c>
      <c r="N47" s="1">
        <f t="shared" si="45"/>
        <v>395</v>
      </c>
      <c r="O47" s="28">
        <f t="shared" si="39"/>
        <v>40290</v>
      </c>
      <c r="P47" s="28">
        <f t="shared" si="40"/>
        <v>84290</v>
      </c>
      <c r="Q47" s="47">
        <f t="shared" ref="Q47" si="56">+P47+P48</f>
        <v>178160</v>
      </c>
      <c r="R47" s="47"/>
    </row>
    <row r="48" spans="1:18" x14ac:dyDescent="0.25">
      <c r="A48" s="44"/>
      <c r="B48" s="1" t="s">
        <v>34</v>
      </c>
      <c r="C48" s="32">
        <v>50</v>
      </c>
      <c r="D48" s="1"/>
      <c r="E48" s="1">
        <f t="shared" si="53"/>
        <v>450</v>
      </c>
      <c r="F48" s="28">
        <f t="shared" si="54"/>
        <v>49500</v>
      </c>
      <c r="G48" s="47"/>
      <c r="H48" s="32">
        <v>0</v>
      </c>
      <c r="I48" s="1"/>
      <c r="J48" s="1"/>
      <c r="K48" s="28">
        <f t="shared" si="38"/>
        <v>0</v>
      </c>
      <c r="L48" s="1">
        <v>40</v>
      </c>
      <c r="M48" s="1"/>
      <c r="N48" s="1">
        <f t="shared" si="45"/>
        <v>435</v>
      </c>
      <c r="O48" s="28">
        <f t="shared" si="39"/>
        <v>44370</v>
      </c>
      <c r="P48" s="28">
        <f t="shared" si="40"/>
        <v>93870</v>
      </c>
      <c r="Q48" s="47"/>
      <c r="R48" s="47"/>
    </row>
    <row r="49" spans="1:18" x14ac:dyDescent="0.25">
      <c r="A49" s="44">
        <v>2027</v>
      </c>
      <c r="B49" s="1" t="s">
        <v>35</v>
      </c>
      <c r="C49" s="32">
        <v>50</v>
      </c>
      <c r="D49" s="1">
        <v>250</v>
      </c>
      <c r="E49" s="1">
        <f t="shared" si="53"/>
        <v>250</v>
      </c>
      <c r="F49" s="28">
        <f t="shared" si="54"/>
        <v>27500</v>
      </c>
      <c r="G49" s="47">
        <f t="shared" ref="G49" si="57">+F49+F50</f>
        <v>60500</v>
      </c>
      <c r="H49" s="32">
        <v>0</v>
      </c>
      <c r="I49" s="1"/>
      <c r="J49" s="1"/>
      <c r="K49" s="28">
        <f t="shared" si="38"/>
        <v>0</v>
      </c>
      <c r="L49" s="1">
        <v>116</v>
      </c>
      <c r="M49" s="1">
        <v>58</v>
      </c>
      <c r="N49" s="1">
        <f t="shared" si="45"/>
        <v>493</v>
      </c>
      <c r="O49" s="28">
        <f t="shared" si="39"/>
        <v>50286</v>
      </c>
      <c r="P49" s="28">
        <f t="shared" si="40"/>
        <v>77786</v>
      </c>
      <c r="Q49" s="47">
        <f t="shared" ref="Q49" si="58">+P49+P50</f>
        <v>165764</v>
      </c>
      <c r="R49" s="47"/>
    </row>
    <row r="50" spans="1:18" x14ac:dyDescent="0.25">
      <c r="A50" s="44"/>
      <c r="B50" s="1" t="s">
        <v>36</v>
      </c>
      <c r="C50" s="32">
        <v>50</v>
      </c>
      <c r="D50" s="1"/>
      <c r="E50" s="1">
        <f t="shared" si="53"/>
        <v>300</v>
      </c>
      <c r="F50" s="28">
        <f t="shared" si="54"/>
        <v>33000</v>
      </c>
      <c r="G50" s="47"/>
      <c r="H50" s="32">
        <v>0</v>
      </c>
      <c r="I50" s="1"/>
      <c r="J50" s="1"/>
      <c r="K50" s="28">
        <f t="shared" si="38"/>
        <v>0</v>
      </c>
      <c r="L50" s="1">
        <v>46</v>
      </c>
      <c r="M50" s="1"/>
      <c r="N50" s="1">
        <f t="shared" si="45"/>
        <v>539</v>
      </c>
      <c r="O50" s="28">
        <f t="shared" si="39"/>
        <v>54978</v>
      </c>
      <c r="P50" s="28">
        <f t="shared" si="40"/>
        <v>87978</v>
      </c>
      <c r="Q50" s="47"/>
      <c r="R50" s="47"/>
    </row>
    <row r="51" spans="1:18" x14ac:dyDescent="0.25">
      <c r="A51" s="44">
        <v>2028</v>
      </c>
      <c r="B51" s="1" t="s">
        <v>37</v>
      </c>
      <c r="C51" s="32">
        <v>50</v>
      </c>
      <c r="D51" s="1">
        <v>350</v>
      </c>
      <c r="E51" s="1">
        <f t="shared" si="53"/>
        <v>0</v>
      </c>
      <c r="F51" s="28">
        <f t="shared" si="54"/>
        <v>0</v>
      </c>
      <c r="G51" s="47">
        <f t="shared" ref="G51" si="59">+F51+F52</f>
        <v>0</v>
      </c>
      <c r="H51" s="32">
        <v>0</v>
      </c>
      <c r="I51" s="1"/>
      <c r="J51" s="1"/>
      <c r="K51" s="28">
        <f t="shared" si="38"/>
        <v>0</v>
      </c>
      <c r="L51" s="1">
        <v>133</v>
      </c>
      <c r="M51" s="1">
        <v>62</v>
      </c>
      <c r="N51" s="1">
        <f t="shared" si="45"/>
        <v>610</v>
      </c>
      <c r="O51" s="28"/>
      <c r="P51" s="28">
        <f t="shared" ref="P51" si="60">+O51*125</f>
        <v>0</v>
      </c>
      <c r="Q51" s="34">
        <f>+P51+M52</f>
        <v>0</v>
      </c>
      <c r="R51" s="34"/>
    </row>
    <row r="52" spans="1:18" x14ac:dyDescent="0.25">
      <c r="A52" s="44"/>
      <c r="B52" s="1"/>
      <c r="C52" s="1"/>
      <c r="D52" s="1"/>
      <c r="E52" s="1"/>
      <c r="F52" s="28">
        <f t="shared" si="54"/>
        <v>0</v>
      </c>
      <c r="G52" s="47"/>
      <c r="H52" s="30"/>
      <c r="I52" s="30"/>
      <c r="J52" s="31"/>
      <c r="K52" s="34"/>
      <c r="L52" s="1">
        <v>53</v>
      </c>
      <c r="M52" s="30"/>
      <c r="N52" s="1">
        <f t="shared" si="45"/>
        <v>663</v>
      </c>
      <c r="O52" s="34"/>
    </row>
    <row r="54" spans="1:18" x14ac:dyDescent="0.25">
      <c r="B54" s="37" t="s">
        <v>52</v>
      </c>
      <c r="C54" s="33" t="s">
        <v>53</v>
      </c>
      <c r="D54" s="33"/>
      <c r="E54" s="32" t="s">
        <v>46</v>
      </c>
      <c r="F54" s="24"/>
      <c r="G54" s="22"/>
      <c r="H54"/>
      <c r="J54" s="22"/>
      <c r="L54"/>
    </row>
    <row r="55" spans="1:18" x14ac:dyDescent="0.25">
      <c r="A55" s="44">
        <v>2022</v>
      </c>
      <c r="B55" s="45">
        <f>G39+K39+K40</f>
        <v>84395</v>
      </c>
      <c r="C55" s="45">
        <f>+O39+O40</f>
        <v>23154</v>
      </c>
      <c r="E55" s="45">
        <f>+B55+C55</f>
        <v>107549</v>
      </c>
      <c r="F55" s="24"/>
      <c r="G55" s="22"/>
      <c r="H55"/>
      <c r="J55" s="22"/>
      <c r="L55"/>
    </row>
    <row r="56" spans="1:18" x14ac:dyDescent="0.25">
      <c r="A56" s="44"/>
      <c r="B56" s="44"/>
      <c r="C56" s="44"/>
      <c r="E56" s="44"/>
      <c r="F56" s="24"/>
      <c r="G56" s="22"/>
      <c r="H56"/>
      <c r="J56" s="22"/>
      <c r="L56"/>
    </row>
    <row r="57" spans="1:18" x14ac:dyDescent="0.25">
      <c r="A57" s="44">
        <v>2023</v>
      </c>
      <c r="B57" s="45">
        <f>+G41+K41+K42</f>
        <v>114233</v>
      </c>
      <c r="C57" s="45">
        <f>+O41+O42</f>
        <v>35496</v>
      </c>
      <c r="E57" s="45">
        <f t="shared" ref="E57" si="61">+B57+C57</f>
        <v>149729</v>
      </c>
      <c r="F57" s="24"/>
      <c r="G57" s="22"/>
      <c r="H57"/>
      <c r="J57" s="22"/>
      <c r="L57"/>
    </row>
    <row r="58" spans="1:18" x14ac:dyDescent="0.25">
      <c r="A58" s="44"/>
      <c r="B58" s="44"/>
      <c r="C58" s="44"/>
      <c r="E58" s="44"/>
      <c r="F58" s="24"/>
      <c r="G58" s="22"/>
      <c r="H58"/>
      <c r="J58" s="22"/>
      <c r="L58"/>
    </row>
    <row r="59" spans="1:18" x14ac:dyDescent="0.25">
      <c r="A59" s="44">
        <v>2024</v>
      </c>
      <c r="B59" s="45">
        <f>+G43+K43+K44</f>
        <v>126500</v>
      </c>
      <c r="C59" s="45">
        <f>+O43+O44</f>
        <v>49164</v>
      </c>
      <c r="E59" s="45">
        <f t="shared" ref="E59" si="62">+B59+C59</f>
        <v>175664</v>
      </c>
      <c r="F59" s="24"/>
      <c r="G59" s="22"/>
      <c r="H59"/>
      <c r="J59" s="22"/>
      <c r="L59"/>
    </row>
    <row r="60" spans="1:18" x14ac:dyDescent="0.25">
      <c r="A60" s="44"/>
      <c r="B60" s="44"/>
      <c r="C60" s="44"/>
      <c r="E60" s="44"/>
      <c r="F60" s="24"/>
      <c r="G60" s="22"/>
      <c r="H60"/>
      <c r="J60" s="22"/>
      <c r="L60"/>
    </row>
    <row r="63" spans="1:18" x14ac:dyDescent="0.25">
      <c r="B63" s="46" t="s">
        <v>56</v>
      </c>
      <c r="C63" s="46"/>
      <c r="D63" s="46"/>
    </row>
    <row r="66" spans="1:5" x14ac:dyDescent="0.25">
      <c r="B66" s="37" t="s">
        <v>52</v>
      </c>
      <c r="C66" s="33" t="s">
        <v>53</v>
      </c>
      <c r="D66" s="33"/>
      <c r="E66" s="32" t="s">
        <v>46</v>
      </c>
    </row>
    <row r="67" spans="1:5" x14ac:dyDescent="0.25">
      <c r="A67" s="44">
        <v>2022</v>
      </c>
      <c r="B67" s="45">
        <f>+B55+B24</f>
        <v>1109793</v>
      </c>
      <c r="C67" s="45">
        <f>+C55+C24</f>
        <v>34654</v>
      </c>
      <c r="E67" s="45">
        <f>+B67+C67</f>
        <v>1144447</v>
      </c>
    </row>
    <row r="68" spans="1:5" x14ac:dyDescent="0.25">
      <c r="A68" s="44"/>
      <c r="B68" s="44"/>
      <c r="C68" s="44"/>
      <c r="E68" s="44"/>
    </row>
    <row r="69" spans="1:5" x14ac:dyDescent="0.25">
      <c r="A69" s="44">
        <v>2023</v>
      </c>
      <c r="B69" s="45">
        <f t="shared" ref="B69:C69" si="63">+B57+B26</f>
        <v>1092753</v>
      </c>
      <c r="C69" s="45">
        <f t="shared" si="63"/>
        <v>48121</v>
      </c>
      <c r="E69" s="45">
        <f t="shared" ref="E69" si="64">+B69+C69</f>
        <v>1140874</v>
      </c>
    </row>
    <row r="70" spans="1:5" x14ac:dyDescent="0.25">
      <c r="A70" s="44"/>
      <c r="B70" s="44"/>
      <c r="C70" s="44"/>
      <c r="E70" s="44"/>
    </row>
    <row r="71" spans="1:5" x14ac:dyDescent="0.25">
      <c r="A71" s="44">
        <v>2024</v>
      </c>
      <c r="B71" s="45">
        <f t="shared" ref="B71:C71" si="65">+B59+B28</f>
        <v>796160</v>
      </c>
      <c r="C71" s="45">
        <f t="shared" si="65"/>
        <v>63039</v>
      </c>
      <c r="E71" s="45">
        <f t="shared" ref="E71" si="66">+B71+C71</f>
        <v>859199</v>
      </c>
    </row>
    <row r="72" spans="1:5" x14ac:dyDescent="0.25">
      <c r="A72" s="44"/>
      <c r="B72" s="44"/>
      <c r="C72" s="44"/>
      <c r="E72" s="44"/>
    </row>
  </sheetData>
  <mergeCells count="119">
    <mergeCell ref="A16:A17"/>
    <mergeCell ref="A18:A19"/>
    <mergeCell ref="A20:A21"/>
    <mergeCell ref="A6:A7"/>
    <mergeCell ref="A8:A9"/>
    <mergeCell ref="A10:A11"/>
    <mergeCell ref="A12:A13"/>
    <mergeCell ref="A14:A15"/>
    <mergeCell ref="M3:N3"/>
    <mergeCell ref="O6:O7"/>
    <mergeCell ref="O8:O9"/>
    <mergeCell ref="O10:O11"/>
    <mergeCell ref="O12:O13"/>
    <mergeCell ref="F3:H3"/>
    <mergeCell ref="F4:G4"/>
    <mergeCell ref="J3:K3"/>
    <mergeCell ref="J4:K4"/>
    <mergeCell ref="L20:L21"/>
    <mergeCell ref="O20:O21"/>
    <mergeCell ref="N4:O4"/>
    <mergeCell ref="O14:O15"/>
    <mergeCell ref="O16:O17"/>
    <mergeCell ref="O18:O19"/>
    <mergeCell ref="L6:L7"/>
    <mergeCell ref="L8:L9"/>
    <mergeCell ref="L10:L11"/>
    <mergeCell ref="L12:L13"/>
    <mergeCell ref="L14:L15"/>
    <mergeCell ref="A24:A25"/>
    <mergeCell ref="A26:A27"/>
    <mergeCell ref="A28:A29"/>
    <mergeCell ref="B24:B25"/>
    <mergeCell ref="B26:B27"/>
    <mergeCell ref="B28:B29"/>
    <mergeCell ref="H18:H19"/>
    <mergeCell ref="H20:H21"/>
    <mergeCell ref="P6:P7"/>
    <mergeCell ref="P8:P9"/>
    <mergeCell ref="P10:P11"/>
    <mergeCell ref="P12:P13"/>
    <mergeCell ref="P14:P15"/>
    <mergeCell ref="P16:P17"/>
    <mergeCell ref="P18:P19"/>
    <mergeCell ref="P20:P21"/>
    <mergeCell ref="H6:H7"/>
    <mergeCell ref="H8:H9"/>
    <mergeCell ref="H10:H11"/>
    <mergeCell ref="H12:H13"/>
    <mergeCell ref="H14:H15"/>
    <mergeCell ref="H16:H17"/>
    <mergeCell ref="L16:L17"/>
    <mergeCell ref="L18:L19"/>
    <mergeCell ref="C24:C25"/>
    <mergeCell ref="C26:C27"/>
    <mergeCell ref="C28:C29"/>
    <mergeCell ref="D24:D25"/>
    <mergeCell ref="M35:N35"/>
    <mergeCell ref="L34:O34"/>
    <mergeCell ref="H34:K34"/>
    <mergeCell ref="I35:J35"/>
    <mergeCell ref="E24:E25"/>
    <mergeCell ref="E26:E27"/>
    <mergeCell ref="E28:E29"/>
    <mergeCell ref="Q41:Q42"/>
    <mergeCell ref="R41:R42"/>
    <mergeCell ref="A39:A40"/>
    <mergeCell ref="G39:G40"/>
    <mergeCell ref="Q39:Q40"/>
    <mergeCell ref="R39:R40"/>
    <mergeCell ref="A41:A42"/>
    <mergeCell ref="G41:G42"/>
    <mergeCell ref="Q37:Q38"/>
    <mergeCell ref="R37:R38"/>
    <mergeCell ref="Q49:Q50"/>
    <mergeCell ref="R49:R50"/>
    <mergeCell ref="A47:A48"/>
    <mergeCell ref="G47:G48"/>
    <mergeCell ref="Q47:Q48"/>
    <mergeCell ref="R47:R48"/>
    <mergeCell ref="Q45:Q46"/>
    <mergeCell ref="R45:R46"/>
    <mergeCell ref="A43:A44"/>
    <mergeCell ref="G43:G44"/>
    <mergeCell ref="Q43:Q44"/>
    <mergeCell ref="R43:R44"/>
    <mergeCell ref="A37:A38"/>
    <mergeCell ref="G37:G38"/>
    <mergeCell ref="A59:A60"/>
    <mergeCell ref="B59:B60"/>
    <mergeCell ref="C34:G34"/>
    <mergeCell ref="A55:A56"/>
    <mergeCell ref="B55:B56"/>
    <mergeCell ref="A57:A58"/>
    <mergeCell ref="B57:B58"/>
    <mergeCell ref="C55:C56"/>
    <mergeCell ref="C57:C58"/>
    <mergeCell ref="C59:C60"/>
    <mergeCell ref="E55:E56"/>
    <mergeCell ref="E57:E58"/>
    <mergeCell ref="E59:E60"/>
    <mergeCell ref="A51:A52"/>
    <mergeCell ref="G51:G52"/>
    <mergeCell ref="A49:A50"/>
    <mergeCell ref="G49:G50"/>
    <mergeCell ref="A45:A46"/>
    <mergeCell ref="G45:G46"/>
    <mergeCell ref="A69:A70"/>
    <mergeCell ref="B69:B70"/>
    <mergeCell ref="C69:C70"/>
    <mergeCell ref="E69:E70"/>
    <mergeCell ref="A71:A72"/>
    <mergeCell ref="B71:B72"/>
    <mergeCell ref="C71:C72"/>
    <mergeCell ref="E71:E72"/>
    <mergeCell ref="B63:D63"/>
    <mergeCell ref="A67:A68"/>
    <mergeCell ref="B67:B68"/>
    <mergeCell ref="C67:C68"/>
    <mergeCell ref="E67:E68"/>
  </mergeCells>
  <pageMargins left="0.25" right="0.25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ampop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2021-07-28T13:36:07Z</dcterms:modified>
</cp:coreProperties>
</file>